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autoCompressPictures="0" defaultThemeVersion="124226"/>
  <mc:AlternateContent xmlns:mc="http://schemas.openxmlformats.org/markup-compatibility/2006">
    <mc:Choice Requires="x15">
      <x15ac:absPath xmlns:x15ac="http://schemas.microsoft.com/office/spreadsheetml/2010/11/ac" url="https://d.docs.live.net/4aebf75f776dadf8/Documents/"/>
    </mc:Choice>
  </mc:AlternateContent>
  <xr:revisionPtr revIDLastSave="0" documentId="8_{9BA91E98-71E9-45D6-A607-FD9F14C2D9F1}" xr6:coauthVersionLast="45" xr6:coauthVersionMax="45" xr10:uidLastSave="{00000000-0000-0000-0000-000000000000}"/>
  <bookViews>
    <workbookView xWindow="-120" yWindow="-120" windowWidth="24240" windowHeight="13140" tabRatio="962" activeTab="1" xr2:uid="{00000000-000D-0000-FFFF-FFFF00000000}"/>
  </bookViews>
  <sheets>
    <sheet name="Spreadsheet Use" sheetId="28" r:id="rId1"/>
    <sheet name="OPTIONS" sheetId="22" r:id="rId2"/>
    <sheet name="INCOME-SHEET-1" sheetId="25" r:id="rId3"/>
    <sheet name="INCOME-SHEET-2" sheetId="26" r:id="rId4"/>
    <sheet name="YOUR-ZAKAH" sheetId="27"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26" l="1"/>
  <c r="E4" i="26"/>
  <c r="F7" i="27" s="1"/>
  <c r="E22" i="26"/>
  <c r="U5" i="25"/>
  <c r="K39" i="26" l="1"/>
  <c r="K42" i="26" l="1"/>
  <c r="K41" i="26"/>
  <c r="K40" i="26"/>
  <c r="J29" i="27" l="1"/>
  <c r="I29" i="27"/>
  <c r="H29" i="27"/>
  <c r="G29" i="27"/>
  <c r="F29" i="27"/>
  <c r="E29" i="27"/>
  <c r="L38" i="26"/>
  <c r="D7" i="26"/>
  <c r="Q15" i="25"/>
  <c r="P15" i="25"/>
  <c r="O15" i="25"/>
  <c r="N15" i="25"/>
  <c r="M15" i="25"/>
  <c r="L15" i="25"/>
  <c r="G15" i="25"/>
  <c r="F15" i="25"/>
  <c r="E15" i="25"/>
  <c r="D15" i="25"/>
  <c r="H36" i="27" l="1"/>
  <c r="C20" i="26" l="1"/>
  <c r="C19" i="26"/>
  <c r="D35" i="27" l="1"/>
  <c r="D20" i="27"/>
  <c r="J39" i="27"/>
  <c r="J14" i="27"/>
  <c r="D39" i="27"/>
  <c r="E48" i="27"/>
  <c r="E47" i="27"/>
  <c r="E46" i="27"/>
  <c r="J38" i="27"/>
  <c r="K5" i="26"/>
  <c r="E49" i="27" l="1"/>
  <c r="E38" i="27"/>
  <c r="E26" i="27"/>
  <c r="E25" i="27"/>
  <c r="E24" i="27"/>
  <c r="E17" i="27"/>
  <c r="E14" i="27"/>
  <c r="E15" i="27"/>
  <c r="E16" i="27"/>
  <c r="E12" i="27"/>
  <c r="D17" i="27"/>
  <c r="I15" i="27"/>
  <c r="H15" i="27"/>
  <c r="G15" i="27"/>
  <c r="F15" i="27"/>
  <c r="E28" i="27" l="1"/>
  <c r="J26" i="27"/>
  <c r="I26" i="27"/>
  <c r="H26" i="27"/>
  <c r="G26" i="27"/>
  <c r="F26" i="27"/>
  <c r="I25" i="27"/>
  <c r="H25" i="27"/>
  <c r="G25" i="27"/>
  <c r="F25" i="27"/>
  <c r="F24" i="27"/>
  <c r="G24" i="27"/>
  <c r="H24" i="27"/>
  <c r="I24" i="27"/>
  <c r="H14" i="27"/>
  <c r="G14" i="27"/>
  <c r="F14" i="27"/>
  <c r="I13" i="27"/>
  <c r="H13" i="27"/>
  <c r="G13" i="27"/>
  <c r="J12" i="27"/>
  <c r="I12" i="27"/>
  <c r="H12" i="27"/>
  <c r="G12" i="27"/>
  <c r="F12" i="27"/>
  <c r="J15" i="27"/>
  <c r="J22" i="27"/>
  <c r="D15" i="27" l="1"/>
  <c r="I16" i="27"/>
  <c r="H16" i="27"/>
  <c r="G16" i="27"/>
  <c r="F16" i="27"/>
  <c r="D36" i="27"/>
  <c r="D34" i="27"/>
  <c r="I48" i="27"/>
  <c r="H48" i="27"/>
  <c r="G48" i="27"/>
  <c r="F48" i="27"/>
  <c r="I47" i="27"/>
  <c r="H47" i="27"/>
  <c r="G47" i="27"/>
  <c r="F47" i="27"/>
  <c r="I46" i="27"/>
  <c r="H46" i="27"/>
  <c r="G46" i="27"/>
  <c r="J48" i="27"/>
  <c r="J47" i="27"/>
  <c r="F46" i="27"/>
  <c r="J46" i="27"/>
  <c r="J13" i="27"/>
  <c r="J16" i="27"/>
  <c r="J17" i="27"/>
  <c r="J25" i="27"/>
  <c r="J24" i="27"/>
  <c r="J40" i="27"/>
  <c r="J41" i="27"/>
  <c r="I17" i="27"/>
  <c r="I14" i="27"/>
  <c r="H17" i="27"/>
  <c r="G17" i="27"/>
  <c r="F17" i="27"/>
  <c r="F13" i="27"/>
  <c r="J49" i="27" l="1"/>
  <c r="G49" i="27"/>
  <c r="F49" i="27"/>
  <c r="O25" i="25"/>
  <c r="O22" i="25"/>
  <c r="O19" i="25"/>
  <c r="O16" i="25"/>
  <c r="H25" i="25"/>
  <c r="Q25" i="25" s="1"/>
  <c r="E37" i="27" s="1"/>
  <c r="H22" i="25"/>
  <c r="Q22" i="25" s="1"/>
  <c r="E21" i="26" s="1"/>
  <c r="H19" i="25"/>
  <c r="Q19" i="25" s="1"/>
  <c r="E20" i="26" s="1"/>
  <c r="H16" i="25"/>
  <c r="Q16" i="25" s="1"/>
  <c r="E19" i="26" s="1"/>
  <c r="O27" i="25" l="1"/>
  <c r="E34" i="27"/>
  <c r="E35" i="27"/>
  <c r="E36" i="27"/>
  <c r="Q27" i="25"/>
  <c r="J37" i="27"/>
  <c r="I49" i="27"/>
  <c r="H49" i="27"/>
  <c r="H27" i="25"/>
  <c r="P25" i="25"/>
  <c r="P22" i="25"/>
  <c r="P19" i="25"/>
  <c r="P16" i="25"/>
  <c r="L25" i="25"/>
  <c r="L22" i="25"/>
  <c r="L19" i="25"/>
  <c r="M25" i="25"/>
  <c r="M22" i="25"/>
  <c r="M19" i="25"/>
  <c r="K20" i="26" s="1"/>
  <c r="L16" i="25"/>
  <c r="M16" i="25"/>
  <c r="K19" i="26" l="1"/>
  <c r="N16" i="25"/>
  <c r="D19" i="26" s="1"/>
  <c r="P27" i="25"/>
  <c r="N25" i="25"/>
  <c r="D22" i="26" s="1"/>
  <c r="K22" i="26"/>
  <c r="K21" i="26"/>
  <c r="J19" i="27"/>
  <c r="N22" i="25"/>
  <c r="D21" i="26" s="1"/>
  <c r="N19" i="25"/>
  <c r="D20" i="26" s="1"/>
  <c r="K7" i="26" l="1"/>
  <c r="G35" i="27"/>
  <c r="H35" i="27"/>
  <c r="J35" i="27"/>
  <c r="G34" i="27"/>
  <c r="H34" i="27"/>
  <c r="J34" i="27"/>
  <c r="J20" i="27"/>
  <c r="F20" i="27"/>
  <c r="I20" i="27"/>
  <c r="F27" i="25"/>
  <c r="M27" i="25"/>
  <c r="G27" i="25"/>
  <c r="E27" i="25"/>
  <c r="D27" i="25"/>
  <c r="C22" i="26"/>
  <c r="D37" i="27" s="1"/>
  <c r="J36" i="27" l="1"/>
  <c r="J21" i="27"/>
  <c r="F21" i="27"/>
  <c r="I21" i="27"/>
  <c r="I22" i="27"/>
  <c r="F22" i="27"/>
  <c r="H37" i="27"/>
  <c r="H42" i="27" s="1"/>
  <c r="H7" i="27"/>
  <c r="J8" i="27"/>
  <c r="I8" i="27"/>
  <c r="H8" i="27"/>
  <c r="G8" i="27"/>
  <c r="F8" i="27"/>
  <c r="E8" i="27"/>
  <c r="H43" i="27" l="1"/>
  <c r="L27" i="25"/>
  <c r="G7" i="27"/>
  <c r="N27" i="25" l="1"/>
  <c r="D22" i="27"/>
  <c r="D21" i="27"/>
  <c r="D19" i="27"/>
  <c r="I19" i="27" l="1"/>
  <c r="J42" i="27"/>
  <c r="F19" i="27"/>
  <c r="D14" i="27"/>
  <c r="G42" i="27" l="1"/>
  <c r="G43" i="27" s="1"/>
  <c r="D16" i="27"/>
  <c r="F28" i="27" l="1"/>
  <c r="F30" i="27" s="1"/>
  <c r="J43" i="27"/>
  <c r="I43" i="26"/>
  <c r="H43" i="26"/>
  <c r="G43" i="26"/>
  <c r="F43" i="26"/>
  <c r="E43" i="26"/>
  <c r="D43" i="26"/>
  <c r="F51" i="27" l="1"/>
  <c r="F31" i="27"/>
  <c r="F52" i="27" s="1"/>
  <c r="G28" i="27"/>
  <c r="G30" i="27" s="1"/>
  <c r="K43" i="26"/>
  <c r="L43" i="26" s="1"/>
  <c r="D36" i="26" s="1"/>
  <c r="E53" i="27" l="1"/>
  <c r="J53" i="27"/>
  <c r="E30" i="27"/>
  <c r="E31" i="27" s="1"/>
  <c r="H53" i="27"/>
  <c r="I53" i="27"/>
  <c r="F53" i="27"/>
  <c r="F54" i="27" s="1"/>
  <c r="G53" i="27"/>
  <c r="G31" i="27"/>
  <c r="G52" i="27" s="1"/>
  <c r="G51" i="27"/>
  <c r="H28" i="27"/>
  <c r="H30" i="27" s="1"/>
  <c r="E42" i="27"/>
  <c r="G54" i="27" l="1"/>
  <c r="H31" i="27"/>
  <c r="H52" i="27" s="1"/>
  <c r="H54" i="27" s="1"/>
  <c r="H51" i="27"/>
  <c r="J28" i="27"/>
  <c r="J30" i="27" s="1"/>
  <c r="J31" i="27" s="1"/>
  <c r="J52" i="27" s="1"/>
  <c r="J54" i="27" s="1"/>
  <c r="I28" i="27"/>
  <c r="I30" i="27" s="1"/>
  <c r="E43" i="27"/>
  <c r="E52" i="27" s="1"/>
  <c r="E54" i="27" s="1"/>
  <c r="E51" i="27"/>
  <c r="J51" i="27" l="1"/>
  <c r="I31" i="27"/>
  <c r="I52" i="27" s="1"/>
  <c r="I54" i="27" s="1"/>
  <c r="I51" i="27"/>
</calcChain>
</file>

<file path=xl/sharedStrings.xml><?xml version="1.0" encoding="utf-8"?>
<sst xmlns="http://schemas.openxmlformats.org/spreadsheetml/2006/main" count="302" uniqueCount="192">
  <si>
    <t>Assets</t>
  </si>
  <si>
    <t>NOTES</t>
  </si>
  <si>
    <t>Comments</t>
  </si>
  <si>
    <t>2.5% ZAKAH CATEGORY</t>
  </si>
  <si>
    <t>Amount of Cash at home or in the bank</t>
  </si>
  <si>
    <t>A</t>
  </si>
  <si>
    <t>B</t>
  </si>
  <si>
    <t>C</t>
  </si>
  <si>
    <t>Minimum value during the year</t>
  </si>
  <si>
    <t>D</t>
  </si>
  <si>
    <t>Net profit from business</t>
  </si>
  <si>
    <t>E</t>
  </si>
  <si>
    <t>Minimum during the year</t>
  </si>
  <si>
    <t>Outstanding Debt - Debt or Loan given out</t>
  </si>
  <si>
    <t>F</t>
  </si>
  <si>
    <t>G</t>
  </si>
  <si>
    <t>GROSS AMOUNT</t>
  </si>
  <si>
    <t>H</t>
  </si>
  <si>
    <t>Amount you owe to others</t>
  </si>
  <si>
    <t>NET AMOUNT</t>
  </si>
  <si>
    <t>YEARLY GAIN; SEE SHEIKH QARADAWI'S FATWA ON THE SUBSEQUENT PANEL: STOCKS, 401K</t>
  </si>
  <si>
    <t>Net = Gross - expenses (maintenance, tax, etc.)</t>
  </si>
  <si>
    <t>TOTAL ZAKAH DUE</t>
  </si>
  <si>
    <t>NET BALANCE DUE FOR PAYMENT</t>
  </si>
  <si>
    <t>Produce dependent on rain water only</t>
  </si>
  <si>
    <t>Produce dependent on irrigation water only</t>
  </si>
  <si>
    <t>Produce dependent on rain and irrigation water</t>
  </si>
  <si>
    <t>Assuming you will get it back; if you don't think you will get it back, put zero</t>
  </si>
  <si>
    <t>ZAKAH DUE (PART-1)</t>
  </si>
  <si>
    <t>ZAKAH DUE (PART-2)</t>
  </si>
  <si>
    <t>ZAKAH DUE (PART-3)</t>
  </si>
  <si>
    <t>PART-3</t>
  </si>
  <si>
    <t>PART-2</t>
  </si>
  <si>
    <t>PART-1</t>
  </si>
  <si>
    <t>10% ZAKAH CATEGORY ON GAIN (PROFIT)</t>
  </si>
  <si>
    <t>Buying/Selling of real estate (LAND AND CONSTRUCTIONS - TOTAL VALUE)</t>
  </si>
  <si>
    <t>ITEM DETAILS</t>
  </si>
  <si>
    <t>ITEMS</t>
  </si>
  <si>
    <t>SAR</t>
  </si>
  <si>
    <t>PAYMENT already made toward Zakah</t>
  </si>
  <si>
    <t xml:space="preserve"> </t>
  </si>
  <si>
    <t>SAR TO US$</t>
  </si>
  <si>
    <t>TOTAL Payment already made toward zakah</t>
  </si>
  <si>
    <t>$</t>
  </si>
  <si>
    <t>UKP TO US$</t>
  </si>
  <si>
    <t>EURO TO US$</t>
  </si>
  <si>
    <t>UKP</t>
  </si>
  <si>
    <t>EURO</t>
  </si>
  <si>
    <t>Total</t>
  </si>
  <si>
    <t>BDT TO US$</t>
  </si>
  <si>
    <t>BDT</t>
  </si>
  <si>
    <t>****THIS IS HOW MUCH YOU SHOULD PAY****</t>
  </si>
  <si>
    <t>%</t>
  </si>
  <si>
    <t>OPTION-1</t>
  </si>
  <si>
    <t>OPTION-2</t>
  </si>
  <si>
    <t>OPTION-3</t>
  </si>
  <si>
    <t>OPTION-4</t>
  </si>
  <si>
    <t>OPTION-5</t>
  </si>
  <si>
    <t>STOCKS/INVESTMENT: 10% ON NET, RENTAL 2.5%</t>
  </si>
  <si>
    <t>Net Rental Income</t>
  </si>
  <si>
    <t>IRA</t>
  </si>
  <si>
    <t>ZAHAK DUE</t>
  </si>
  <si>
    <t>Outstanding Debt - Loan given out - Guaranteed return this year</t>
  </si>
  <si>
    <t>US $ STANDARD</t>
  </si>
  <si>
    <t>Money has to stay with you the entire year. May use Average Values</t>
  </si>
  <si>
    <t>Zakah %</t>
  </si>
  <si>
    <t>Business Inventory Value</t>
  </si>
  <si>
    <t>STOCKS/INVESTMENT: TOTAL MONEY (CAPITAL + PROFIT) MINUS PENALTY SUBJECT TO ZAKAH; RENTAL 2.5%</t>
  </si>
  <si>
    <t>Retirement/Pension: SUBJECT TO ZAKAH UPON RETRIVAL OF THE MONEY</t>
  </si>
  <si>
    <t>10.0%, 5%, AND 7.5% CATEGORY (AGRICULTURAL PRODUCE)</t>
  </si>
  <si>
    <t>Net Value on which Zakah is Calculated</t>
  </si>
  <si>
    <t>OPTION-6</t>
  </si>
  <si>
    <t>SAME AS OPTION-2 BUT CONSIDER RENTAL HOMES AS ASSETS AND PAY ZAKAH ON BOTH INVENTORY AND RENTAL INCOME 2.5%</t>
  </si>
  <si>
    <t>non IRA</t>
  </si>
  <si>
    <t>CAPITAL</t>
  </si>
  <si>
    <t>PROFIT</t>
  </si>
  <si>
    <t>OMIT</t>
  </si>
  <si>
    <t>NET RENT</t>
  </si>
  <si>
    <t>Dividents received and cash received from selling shares</t>
  </si>
  <si>
    <t>PERSONAL INVESTMENT IN STOCK MARKET</t>
  </si>
  <si>
    <t>COMPANY INVESTMENT IN STOCK MARKET (PENSION AND RETIREMENT)</t>
  </si>
  <si>
    <t>RENTAL PROPERTY AND REAL ESTATE BUSINESS</t>
  </si>
  <si>
    <t>OPTION-6 WITH DEFAULT PERCENTAGES</t>
  </si>
  <si>
    <t>Consider Lunar Year; Ramadan to Ramadan for example</t>
  </si>
  <si>
    <t>This is investment like Gold Bars</t>
  </si>
  <si>
    <t>OPTION-6 ONLY</t>
  </si>
  <si>
    <t>INCLUDE</t>
  </si>
  <si>
    <t>SAME AS OPTION-2 BUT CONSIDER RENTAL HOMES AS ASSETS AND PAY ZAKAH ON BOTH PROPERTY VALUE AND RENTAL INCOME 2.5%</t>
  </si>
  <si>
    <t>STOCKS INVESTMENT &amp; RETIREMENT: TOTAL PORTFOLIO (CAPITAL + PROFIT) MINUS PENALTY &amp; TAX SUBJECT TO ZAKAH; RENTAL 2.5%</t>
  </si>
  <si>
    <t>PAK RUP to $</t>
  </si>
  <si>
    <t>PKR</t>
  </si>
  <si>
    <t>All Light Green Areas are Accessible to Input Data</t>
  </si>
  <si>
    <t>SELECT % FOR SOME ITEMS (CUSTOMIZE)</t>
  </si>
  <si>
    <t>Year End</t>
  </si>
  <si>
    <t>STOCK VALUE</t>
  </si>
  <si>
    <t>Dividend</t>
  </si>
  <si>
    <t>Stocks for Dividends</t>
  </si>
  <si>
    <t>Purpose of Investment</t>
  </si>
  <si>
    <t>TAX</t>
  </si>
  <si>
    <t>PENALTY</t>
  </si>
  <si>
    <t>Value Increase &amp; Dividends</t>
  </si>
  <si>
    <t>Income</t>
  </si>
  <si>
    <t>STOCK AND SHARE MARKET</t>
  </si>
  <si>
    <t>CASH</t>
  </si>
  <si>
    <t>TOTAL Payment already made toward Zakah</t>
  </si>
  <si>
    <t>RETIREMENT ACCOUNTS</t>
  </si>
  <si>
    <t>PENSION PLANS</t>
  </si>
  <si>
    <t>Primary Home Value</t>
  </si>
  <si>
    <t>Selection</t>
  </si>
  <si>
    <t>Dividends Only</t>
  </si>
  <si>
    <t>Dividends and Total Portfolio after Penalty and Tax</t>
  </si>
  <si>
    <t>STOCKS (IRA and PENSION): SUBJECT TO ZAKAH UPON RETRIVAL OF THE MONEY. 10% on Personal Investment</t>
  </si>
  <si>
    <t>STOCKS (IRA and PENSION): 10% ON NET YEARLY PROFIT, RENTAL 2.5%</t>
  </si>
  <si>
    <t>After Tax and Penalty</t>
  </si>
  <si>
    <t>Net Portfolio</t>
  </si>
  <si>
    <t>Dividends Included</t>
  </si>
  <si>
    <t>Stocks Portfolio Dividends not Included</t>
  </si>
  <si>
    <t>TOTAL</t>
  </si>
  <si>
    <t>Net Profit From Business</t>
  </si>
  <si>
    <t>PERSONAL INVESTMENT-1</t>
  </si>
  <si>
    <t>PERSONAL INVESTMENT-2</t>
  </si>
  <si>
    <t>EXCLUDE</t>
  </si>
  <si>
    <t>Average Portfolio Value Throughout the Year</t>
  </si>
  <si>
    <t>CASH After Penalty and TaX</t>
  </si>
  <si>
    <t>Average</t>
  </si>
  <si>
    <t>Yearly Profit</t>
  </si>
  <si>
    <t>Portfolio Value Increase</t>
  </si>
  <si>
    <t>Use Average</t>
  </si>
  <si>
    <t>Pension</t>
  </si>
  <si>
    <t>Rental Property Value</t>
  </si>
  <si>
    <t>Buying &amp; Selling of Houses (real estate business)</t>
  </si>
  <si>
    <r>
      <rPr>
        <b/>
        <sz val="14"/>
        <color rgb="FF800040"/>
        <rFont val="Calibri"/>
        <family val="2"/>
        <scheme val="minor"/>
      </rPr>
      <t>SHEIKH AL-QARADAWI</t>
    </r>
    <r>
      <rPr>
        <sz val="14"/>
        <color rgb="FF800040"/>
        <rFont val="Calibri"/>
        <family val="2"/>
        <scheme val="minor"/>
      </rPr>
      <t xml:space="preserve">: </t>
    </r>
    <r>
      <rPr>
        <sz val="14"/>
        <color theme="1"/>
        <rFont val="Calibri"/>
        <family val="2"/>
        <scheme val="minor"/>
      </rPr>
      <t>STOCKS (RETIREMENT &amp; INVESTMENT) 10% ON NET PROFIT (LUNAR YEAR), RENTAL 10%</t>
    </r>
  </si>
  <si>
    <t>(personal)</t>
  </si>
  <si>
    <t>(Company)</t>
  </si>
  <si>
    <t>Net = Gross -minus expenses (maintenance, tax, etc.)</t>
  </si>
  <si>
    <t>Minimum amount during the year (Exclude net rental income)</t>
  </si>
  <si>
    <t>Assuming you will get it back; if you don't think you will get it back</t>
  </si>
  <si>
    <t>ZAKAH CALCULATION ANSWER SHEET</t>
  </si>
  <si>
    <t>401K, IRA, Retirement, etc (Company)</t>
  </si>
  <si>
    <r>
      <rPr>
        <b/>
        <sz val="14"/>
        <color theme="9" tint="-0.249977111117893"/>
        <rFont val="Calibri"/>
        <family val="2"/>
        <scheme val="minor"/>
      </rPr>
      <t>SHEIKH AL-QARADAWI</t>
    </r>
    <r>
      <rPr>
        <sz val="14"/>
        <color theme="9" tint="-0.249977111117893"/>
        <rFont val="Calibri"/>
        <family val="2"/>
        <scheme val="minor"/>
      </rPr>
      <t>: STOCKS/INVESTMENT 10% ON NET PROFIT, RENTAL 10%</t>
    </r>
  </si>
  <si>
    <t>(not used for zakat calculation)</t>
  </si>
  <si>
    <t>Gold Jewelry Value Ocassionally Used (INCLUDE)</t>
  </si>
  <si>
    <t>Your Choice of Selecting %</t>
  </si>
  <si>
    <t>Cash Account</t>
  </si>
  <si>
    <t>STOCK ACCOUNT</t>
  </si>
  <si>
    <t>When You Cash Out Your Investment</t>
  </si>
  <si>
    <t>Choose Your Options</t>
  </si>
  <si>
    <t>No Access to Funds</t>
  </si>
  <si>
    <t>Jan-Mar</t>
  </si>
  <si>
    <t>Apr-Jun</t>
  </si>
  <si>
    <t>Jul-Sep</t>
  </si>
  <si>
    <t>Oct-Dec</t>
  </si>
  <si>
    <t>Your Net Worth</t>
  </si>
  <si>
    <t>Investment NON IRA</t>
  </si>
  <si>
    <t>2.5 or 10</t>
  </si>
  <si>
    <t>2.5 or 10 or OMIT</t>
  </si>
  <si>
    <r>
      <t xml:space="preserve">REAL ESTATE VALUE FOR </t>
    </r>
    <r>
      <rPr>
        <b/>
        <sz val="14"/>
        <color rgb="FFFF0000"/>
        <rFont val="Calibri"/>
        <family val="2"/>
        <scheme val="minor"/>
      </rPr>
      <t>RENTAL</t>
    </r>
  </si>
  <si>
    <r>
      <t xml:space="preserve">REAL ESTATE VALUE FOR </t>
    </r>
    <r>
      <rPr>
        <b/>
        <sz val="14"/>
        <color rgb="FFFF0000"/>
        <rFont val="Calibri"/>
        <family val="2"/>
        <scheme val="minor"/>
      </rPr>
      <t>BUSINESS</t>
    </r>
  </si>
  <si>
    <t>Amount for Zakaat        (Includes Cash)</t>
  </si>
  <si>
    <t>Yearly Profit Portfolio Value Increase</t>
  </si>
  <si>
    <r>
      <rPr>
        <b/>
        <sz val="14"/>
        <color rgb="FFFF00FF"/>
        <rFont val="Calibri"/>
        <family val="2"/>
        <scheme val="minor"/>
      </rPr>
      <t>Yearly Profit</t>
    </r>
    <r>
      <rPr>
        <sz val="14"/>
        <color theme="1"/>
        <rFont val="Calibri"/>
        <family val="2"/>
        <scheme val="minor"/>
      </rPr>
      <t xml:space="preserve">      After Tax and Penalty</t>
    </r>
  </si>
  <si>
    <t>Blue color indicate toggle drop down menu</t>
  </si>
  <si>
    <r>
      <rPr>
        <b/>
        <sz val="14"/>
        <color rgb="FFFF00FF"/>
        <rFont val="Calibri"/>
        <family val="2"/>
        <scheme val="minor"/>
      </rPr>
      <t>Net Portfolio</t>
    </r>
    <r>
      <rPr>
        <sz val="14"/>
        <color theme="1"/>
        <rFont val="Calibri"/>
        <family val="2"/>
        <scheme val="minor"/>
      </rPr>
      <t xml:space="preserve"> (for Zakah) After Tax and Penalty</t>
    </r>
  </si>
  <si>
    <r>
      <rPr>
        <b/>
        <sz val="14"/>
        <color rgb="FFFF00FF"/>
        <rFont val="Calibri"/>
        <family val="2"/>
        <scheme val="minor"/>
      </rPr>
      <t>Total Portfolio</t>
    </r>
    <r>
      <rPr>
        <sz val="14"/>
        <color theme="1"/>
        <rFont val="Calibri"/>
        <family val="2"/>
        <scheme val="minor"/>
      </rPr>
      <t xml:space="preserve"> After Tax and Penalty                (FYI Only )</t>
    </r>
  </si>
  <si>
    <t>Default (OPTION-6)</t>
  </si>
  <si>
    <t>All Light Green Areas are Accessible to Input Data in INCOME-SHEET-1 and INCOME-SHEET-2</t>
  </si>
  <si>
    <t>CURRENCY</t>
  </si>
  <si>
    <t>Bank Loans</t>
  </si>
  <si>
    <t>Credit Card Due Payments</t>
  </si>
  <si>
    <t>Interest (Riba) payment Prohibited in Islam</t>
  </si>
  <si>
    <t>Total Amount You Owe</t>
  </si>
  <si>
    <t>IRA = Individual Retirement Account (pre-tax money for investment) - penalty + tax to if retrieved before 59.5 years of age. Afterward, only to pay tax</t>
  </si>
  <si>
    <t>0, 2.5 or 10</t>
  </si>
  <si>
    <t>0, 2.5, or 10</t>
  </si>
  <si>
    <t>This is only an information sheet</t>
  </si>
  <si>
    <t>INPUT SHEET - STOCKS AND INVESTMENTS</t>
  </si>
  <si>
    <t>INPUT SHEET: ZAKAH CALCULATION DATA SHEET</t>
  </si>
  <si>
    <t>Start Year</t>
  </si>
  <si>
    <t>Indian RUP to $</t>
  </si>
  <si>
    <t>INR</t>
  </si>
  <si>
    <t>SOLAR</t>
  </si>
  <si>
    <t>Will be adjusted to Lunar for Zakah calculation</t>
  </si>
  <si>
    <t>Lunor/Solar for Stock market only</t>
  </si>
  <si>
    <t>Gold Investment - Jewelry for growth</t>
  </si>
  <si>
    <t>Company</t>
  </si>
  <si>
    <t>(Rollover IRA or 401K)</t>
  </si>
  <si>
    <t xml:space="preserve">Pension money before retirement is with the company and generally unaccessible </t>
  </si>
  <si>
    <t>Pension money after retirement is held to company sponsored 401 K that can be rolled over to IRA - these funds are accessible without penalty (after 62 yrs) but with paying taxes</t>
  </si>
  <si>
    <t>C and D</t>
  </si>
  <si>
    <t>Gold Jewelry Value - used and standard as per peers (INCLUDE)</t>
  </si>
  <si>
    <t>NOTE: 10% WILL BE 10.3% OF SOLAR YEAR</t>
  </si>
  <si>
    <t>DIVIDENDS &amp; REALIZED /UNREALIZED GAIN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</si>
</sst>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1"/>
      <color theme="1"/>
      <name val="Calibri"/>
      <family val="2"/>
      <scheme val="minor"/>
    </font>
    <font>
      <b/>
      <sz val="11"/>
      <color theme="1"/>
      <name val="Calibri"/>
      <family val="2"/>
      <scheme val="minor"/>
    </font>
    <font>
      <b/>
      <sz val="14"/>
      <color rgb="FF0000FF"/>
      <name val="Calibri"/>
      <family val="2"/>
      <scheme val="minor"/>
    </font>
    <font>
      <b/>
      <sz val="18"/>
      <color theme="1"/>
      <name val="Calibri"/>
      <family val="2"/>
      <scheme val="minor"/>
    </font>
    <font>
      <sz val="14"/>
      <color theme="1"/>
      <name val="Calibri"/>
      <family val="2"/>
      <scheme val="minor"/>
    </font>
    <font>
      <b/>
      <sz val="11"/>
      <color rgb="FFFF0000"/>
      <name val="Calibri"/>
      <family val="2"/>
      <scheme val="minor"/>
    </font>
    <font>
      <b/>
      <sz val="14"/>
      <color theme="1"/>
      <name val="Calibri"/>
      <family val="2"/>
      <scheme val="minor"/>
    </font>
    <font>
      <b/>
      <sz val="16"/>
      <color rgb="FFFF0000"/>
      <name val="Calibri"/>
      <family val="2"/>
      <scheme val="minor"/>
    </font>
    <font>
      <u/>
      <sz val="11"/>
      <color theme="10"/>
      <name val="Calibri"/>
      <family val="2"/>
      <scheme val="minor"/>
    </font>
    <font>
      <u/>
      <sz val="11"/>
      <color theme="11"/>
      <name val="Calibri"/>
      <family val="2"/>
      <scheme val="minor"/>
    </font>
    <font>
      <sz val="14"/>
      <color rgb="FF0000FF"/>
      <name val="Calibri"/>
      <family val="2"/>
      <scheme val="minor"/>
    </font>
    <font>
      <sz val="14"/>
      <color rgb="FFFF0000"/>
      <name val="Calibri"/>
      <family val="2"/>
      <scheme val="minor"/>
    </font>
    <font>
      <b/>
      <sz val="14"/>
      <color rgb="FFFF0000"/>
      <name val="Calibri"/>
      <family val="2"/>
      <scheme val="minor"/>
    </font>
    <font>
      <b/>
      <sz val="14"/>
      <color theme="9" tint="-0.249977111117893"/>
      <name val="Calibri"/>
      <family val="2"/>
      <scheme val="minor"/>
    </font>
    <font>
      <b/>
      <sz val="10"/>
      <color rgb="FFFF0000"/>
      <name val="Arial"/>
      <family val="2"/>
    </font>
    <font>
      <b/>
      <sz val="14"/>
      <color theme="0"/>
      <name val="Calibri"/>
      <family val="2"/>
      <scheme val="minor"/>
    </font>
    <font>
      <b/>
      <sz val="14"/>
      <color rgb="FF000000"/>
      <name val="Calibri"/>
      <family val="2"/>
      <scheme val="minor"/>
    </font>
    <font>
      <sz val="14"/>
      <color rgb="FF000000"/>
      <name val="Calibri"/>
      <family val="2"/>
      <scheme val="minor"/>
    </font>
    <font>
      <b/>
      <sz val="14"/>
      <color theme="5" tint="-0.249977111117893"/>
      <name val="Calibri"/>
      <family val="2"/>
      <scheme val="minor"/>
    </font>
    <font>
      <b/>
      <sz val="16"/>
      <color rgb="FF0000FF"/>
      <name val="Calibri"/>
      <family val="2"/>
      <scheme val="minor"/>
    </font>
    <font>
      <b/>
      <sz val="18"/>
      <color rgb="FFFFFF00"/>
      <name val="Calibri"/>
      <family val="2"/>
      <scheme val="minor"/>
    </font>
    <font>
      <b/>
      <sz val="18"/>
      <color rgb="FF660066"/>
      <name val="Calibri"/>
      <family val="2"/>
      <scheme val="minor"/>
    </font>
    <font>
      <b/>
      <sz val="16"/>
      <color theme="0"/>
      <name val="Calibri"/>
      <family val="2"/>
      <scheme val="minor"/>
    </font>
    <font>
      <b/>
      <sz val="14"/>
      <color rgb="FFFF00FF"/>
      <name val="Calibri"/>
      <family val="2"/>
      <scheme val="minor"/>
    </font>
    <font>
      <sz val="14"/>
      <color rgb="FFFF00FF"/>
      <name val="Calibri"/>
      <family val="2"/>
      <scheme val="minor"/>
    </font>
    <font>
      <sz val="16"/>
      <color theme="1"/>
      <name val="Calibri"/>
      <family val="2"/>
      <scheme val="minor"/>
    </font>
    <font>
      <b/>
      <sz val="14"/>
      <color theme="9" tint="-0.499984740745262"/>
      <name val="Calibri"/>
      <family val="2"/>
      <scheme val="minor"/>
    </font>
    <font>
      <b/>
      <sz val="14"/>
      <name val="Calibri"/>
      <family val="2"/>
      <scheme val="minor"/>
    </font>
    <font>
      <b/>
      <sz val="14"/>
      <color theme="8" tint="-0.249977111117893"/>
      <name val="Calibri"/>
      <family val="2"/>
      <scheme val="minor"/>
    </font>
    <font>
      <sz val="11"/>
      <color theme="8" tint="-0.249977111117893"/>
      <name val="Calibri"/>
      <family val="2"/>
      <scheme val="minor"/>
    </font>
    <font>
      <b/>
      <sz val="11"/>
      <color rgb="FFFF00FF"/>
      <name val="Calibri"/>
      <family val="2"/>
      <scheme val="minor"/>
    </font>
    <font>
      <sz val="14"/>
      <name val="Calibri"/>
      <family val="2"/>
      <scheme val="minor"/>
    </font>
    <font>
      <b/>
      <sz val="18"/>
      <color rgb="FF0000FF"/>
      <name val="Calibri"/>
      <family val="2"/>
      <scheme val="minor"/>
    </font>
    <font>
      <b/>
      <sz val="12"/>
      <color theme="1"/>
      <name val="Calibri"/>
      <family val="2"/>
      <scheme val="minor"/>
    </font>
    <font>
      <b/>
      <sz val="14"/>
      <color rgb="FF800040"/>
      <name val="Calibri"/>
      <family val="2"/>
      <scheme val="minor"/>
    </font>
    <font>
      <b/>
      <sz val="14"/>
      <color rgb="FF002060"/>
      <name val="Calibri"/>
      <family val="2"/>
      <scheme val="minor"/>
    </font>
    <font>
      <b/>
      <sz val="11"/>
      <color rgb="FF002060"/>
      <name val="Calibri"/>
      <family val="2"/>
      <scheme val="minor"/>
    </font>
    <font>
      <b/>
      <sz val="18"/>
      <color rgb="FF002060"/>
      <name val="Calibri"/>
      <family val="2"/>
      <scheme val="minor"/>
    </font>
    <font>
      <b/>
      <sz val="16"/>
      <color rgb="FFFF9900"/>
      <name val="Calibri"/>
      <family val="2"/>
      <scheme val="minor"/>
    </font>
    <font>
      <b/>
      <sz val="16"/>
      <color theme="1"/>
      <name val="Calibri"/>
      <family val="2"/>
      <scheme val="minor"/>
    </font>
    <font>
      <sz val="14"/>
      <color rgb="FF800040"/>
      <name val="Calibri"/>
      <family val="2"/>
      <scheme val="minor"/>
    </font>
    <font>
      <b/>
      <sz val="16"/>
      <name val="Calibri"/>
      <family val="2"/>
      <scheme val="minor"/>
    </font>
    <font>
      <b/>
      <sz val="16"/>
      <color rgb="FF002060"/>
      <name val="Calibri"/>
      <family val="2"/>
      <scheme val="minor"/>
    </font>
    <font>
      <sz val="16"/>
      <name val="Calibri"/>
      <family val="2"/>
      <scheme val="minor"/>
    </font>
    <font>
      <sz val="14"/>
      <color theme="9" tint="-0.249977111117893"/>
      <name val="Calibri"/>
      <family val="2"/>
      <scheme val="minor"/>
    </font>
    <font>
      <b/>
      <sz val="22"/>
      <color rgb="FFFFFFCC"/>
      <name val="Calibri"/>
      <family val="2"/>
      <scheme val="minor"/>
    </font>
    <font>
      <b/>
      <sz val="12"/>
      <color rgb="FFFF00FF"/>
      <name val="Calibri"/>
      <family val="2"/>
      <scheme val="minor"/>
    </font>
    <font>
      <sz val="11"/>
      <color rgb="FFFF00FF"/>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FF99CC"/>
        <bgColor indexed="64"/>
      </patternFill>
    </fill>
    <fill>
      <patternFill patternType="solid">
        <fgColor rgb="FFFFFF66"/>
        <bgColor indexed="64"/>
      </patternFill>
    </fill>
    <fill>
      <patternFill patternType="solid">
        <fgColor theme="6" tint="0.59996337778862885"/>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rgb="FFFFB9B9"/>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00FF"/>
        <bgColor indexed="64"/>
      </patternFill>
    </fill>
    <fill>
      <patternFill patternType="solid">
        <fgColor rgb="FFCC99FF"/>
        <bgColor indexed="64"/>
      </patternFill>
    </fill>
    <fill>
      <patternFill patternType="solid">
        <fgColor rgb="FFFFCC00"/>
        <bgColor indexed="64"/>
      </patternFill>
    </fill>
    <fill>
      <patternFill patternType="solid">
        <fgColor rgb="FFFFCC99"/>
        <bgColor indexed="64"/>
      </patternFill>
    </fill>
  </fills>
  <borders count="47">
    <border>
      <left/>
      <right/>
      <top/>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double">
        <color auto="1"/>
      </left>
      <right/>
      <top style="double">
        <color auto="1"/>
      </top>
      <bottom style="double">
        <color auto="1"/>
      </bottom>
      <diagonal/>
    </border>
    <border>
      <left style="medium">
        <color auto="1"/>
      </left>
      <right style="thin">
        <color auto="1"/>
      </right>
      <top style="thin">
        <color auto="1"/>
      </top>
      <bottom style="thin">
        <color auto="1"/>
      </bottom>
      <diagonal/>
    </border>
    <border>
      <left style="medium">
        <color auto="1"/>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double">
        <color auto="1"/>
      </right>
      <top style="double">
        <color auto="1"/>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style="double">
        <color rgb="FFFF00FF"/>
      </top>
      <bottom/>
      <diagonal/>
    </border>
    <border>
      <left style="medium">
        <color rgb="FFFF00FF"/>
      </left>
      <right style="medium">
        <color rgb="FFFF00FF"/>
      </right>
      <top style="medium">
        <color rgb="FFFF00FF"/>
      </top>
      <bottom/>
      <diagonal/>
    </border>
    <border>
      <left style="medium">
        <color rgb="FFFF00FF"/>
      </left>
      <right style="medium">
        <color rgb="FFFF00FF"/>
      </right>
      <top/>
      <bottom style="medium">
        <color rgb="FFFF00F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style="double">
        <color auto="1"/>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medium">
        <color auto="1"/>
      </right>
      <top/>
      <bottom style="thin">
        <color auto="1"/>
      </bottom>
      <diagonal/>
    </border>
  </borders>
  <cellStyleXfs count="4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302">
    <xf numFmtId="0" fontId="0" fillId="0" borderId="0" xfId="0"/>
    <xf numFmtId="0" fontId="4" fillId="0" borderId="0" xfId="0" applyFont="1" applyBorder="1"/>
    <xf numFmtId="0" fontId="4" fillId="0" borderId="0" xfId="0" applyFont="1" applyBorder="1" applyAlignment="1">
      <alignment horizontal="center"/>
    </xf>
    <xf numFmtId="0" fontId="4" fillId="0" borderId="0" xfId="0" applyFont="1"/>
    <xf numFmtId="0" fontId="15" fillId="9" borderId="0" xfId="0" applyFont="1" applyFill="1" applyBorder="1" applyAlignment="1">
      <alignment horizontal="center"/>
    </xf>
    <xf numFmtId="0" fontId="6" fillId="0" borderId="0" xfId="0" applyFont="1" applyBorder="1" applyAlignment="1">
      <alignment horizontal="center"/>
    </xf>
    <xf numFmtId="0" fontId="6" fillId="2" borderId="0" xfId="0" applyFont="1" applyFill="1" applyBorder="1" applyAlignment="1">
      <alignment horizontal="center" vertical="top" wrapText="1"/>
    </xf>
    <xf numFmtId="0" fontId="2" fillId="0" borderId="0" xfId="0" applyFont="1" applyBorder="1" applyAlignment="1">
      <alignment horizontal="center"/>
    </xf>
    <xf numFmtId="0" fontId="4" fillId="0" borderId="0" xfId="0" applyFont="1" applyFill="1" applyBorder="1" applyAlignment="1">
      <alignment vertical="top" wrapText="1"/>
    </xf>
    <xf numFmtId="0" fontId="4" fillId="0" borderId="0" xfId="0" applyFont="1" applyFill="1" applyBorder="1"/>
    <xf numFmtId="0" fontId="10" fillId="0" borderId="0" xfId="0" applyFont="1" applyBorder="1"/>
    <xf numFmtId="0" fontId="2" fillId="0" borderId="0" xfId="0" applyFont="1" applyFill="1" applyBorder="1" applyAlignment="1">
      <alignment horizontal="center"/>
    </xf>
    <xf numFmtId="0" fontId="4" fillId="0" borderId="0" xfId="0" applyFont="1" applyFill="1" applyBorder="1" applyAlignment="1">
      <alignment horizontal="center"/>
    </xf>
    <xf numFmtId="0" fontId="16" fillId="0" borderId="0" xfId="0" applyFont="1"/>
    <xf numFmtId="0" fontId="17" fillId="0" borderId="0" xfId="0" applyFont="1"/>
    <xf numFmtId="0" fontId="11" fillId="0" borderId="0" xfId="0" applyFont="1" applyBorder="1" applyAlignment="1">
      <alignment vertical="top" wrapText="1"/>
    </xf>
    <xf numFmtId="0" fontId="4" fillId="0" borderId="0" xfId="0" applyFont="1" applyBorder="1" applyAlignment="1">
      <alignment horizontal="center" vertical="top" wrapText="1"/>
    </xf>
    <xf numFmtId="0" fontId="6" fillId="5" borderId="0" xfId="0" applyFont="1" applyFill="1" applyBorder="1" applyAlignment="1">
      <alignment vertical="top" wrapText="1"/>
    </xf>
    <xf numFmtId="3" fontId="4" fillId="0" borderId="0" xfId="0" applyNumberFormat="1" applyFont="1" applyFill="1" applyBorder="1" applyAlignment="1" applyProtection="1">
      <alignment horizontal="center" vertical="top" wrapText="1"/>
    </xf>
    <xf numFmtId="0" fontId="12" fillId="0" borderId="0" xfId="0" applyFont="1" applyFill="1" applyBorder="1" applyAlignment="1">
      <alignment vertical="top" wrapText="1"/>
    </xf>
    <xf numFmtId="3" fontId="11" fillId="0" borderId="0" xfId="0" applyNumberFormat="1" applyFont="1" applyBorder="1" applyAlignment="1" applyProtection="1">
      <alignment horizontal="center" vertical="top" wrapText="1"/>
    </xf>
    <xf numFmtId="0" fontId="12" fillId="0" borderId="0" xfId="0" applyFont="1" applyBorder="1" applyAlignment="1">
      <alignment vertical="top" wrapText="1"/>
    </xf>
    <xf numFmtId="0" fontId="6" fillId="0" borderId="0" xfId="0" applyFont="1" applyBorder="1"/>
    <xf numFmtId="3" fontId="4" fillId="0" borderId="0" xfId="0" applyNumberFormat="1" applyFont="1" applyFill="1" applyBorder="1" applyAlignment="1" applyProtection="1">
      <alignment horizontal="center"/>
    </xf>
    <xf numFmtId="0" fontId="6" fillId="2" borderId="2" xfId="0" applyFont="1" applyFill="1" applyBorder="1"/>
    <xf numFmtId="0" fontId="4" fillId="0" borderId="0" xfId="0" applyFont="1" applyBorder="1" applyAlignment="1">
      <alignment horizontal="right" vertical="top" wrapText="1"/>
    </xf>
    <xf numFmtId="0" fontId="4" fillId="0" borderId="0" xfId="0" applyFont="1" applyBorder="1" applyAlignment="1">
      <alignment horizontal="right"/>
    </xf>
    <xf numFmtId="0" fontId="11" fillId="0" borderId="0" xfId="0" applyFont="1" applyBorder="1"/>
    <xf numFmtId="0" fontId="12" fillId="0" borderId="0" xfId="0" applyFont="1" applyBorder="1" applyAlignment="1">
      <alignment horizontal="center"/>
    </xf>
    <xf numFmtId="0" fontId="6" fillId="10" borderId="0" xfId="0" applyFont="1" applyFill="1" applyBorder="1" applyAlignment="1">
      <alignment horizontal="center" vertical="top" wrapText="1"/>
    </xf>
    <xf numFmtId="0" fontId="6" fillId="10" borderId="0" xfId="0" applyFont="1" applyFill="1" applyBorder="1" applyAlignment="1">
      <alignment horizontal="center"/>
    </xf>
    <xf numFmtId="0" fontId="4" fillId="11" borderId="0" xfId="0" applyFont="1" applyFill="1" applyBorder="1"/>
    <xf numFmtId="3" fontId="4" fillId="11" borderId="1" xfId="0" applyNumberFormat="1" applyFont="1" applyFill="1" applyBorder="1" applyAlignment="1" applyProtection="1">
      <alignment horizontal="center" vertical="top" wrapText="1"/>
    </xf>
    <xf numFmtId="3" fontId="4" fillId="3" borderId="1" xfId="0" applyNumberFormat="1" applyFont="1" applyFill="1" applyBorder="1" applyAlignment="1" applyProtection="1">
      <alignment horizontal="center" vertical="top" wrapText="1"/>
      <protection locked="0"/>
    </xf>
    <xf numFmtId="0" fontId="20" fillId="7" borderId="0" xfId="0" applyFont="1" applyFill="1" applyBorder="1" applyAlignment="1">
      <alignment vertical="top" wrapText="1"/>
    </xf>
    <xf numFmtId="3" fontId="20" fillId="7" borderId="0" xfId="0" applyNumberFormat="1" applyFont="1" applyFill="1" applyBorder="1" applyAlignment="1" applyProtection="1">
      <alignment horizontal="center" vertical="top" wrapText="1"/>
    </xf>
    <xf numFmtId="0" fontId="21" fillId="2" borderId="0" xfId="0" applyFont="1" applyFill="1" applyBorder="1"/>
    <xf numFmtId="0" fontId="22" fillId="9" borderId="0" xfId="0" applyFont="1" applyFill="1" applyBorder="1" applyAlignment="1">
      <alignment horizontal="center"/>
    </xf>
    <xf numFmtId="0" fontId="4" fillId="0" borderId="0" xfId="0" applyFont="1" applyFill="1" applyBorder="1" applyAlignment="1">
      <alignment horizontal="center" vertical="center"/>
    </xf>
    <xf numFmtId="0" fontId="4" fillId="13" borderId="0" xfId="0" applyFont="1" applyFill="1" applyBorder="1" applyAlignment="1">
      <alignment horizontal="center"/>
    </xf>
    <xf numFmtId="0" fontId="4" fillId="13" borderId="0" xfId="0" applyFont="1" applyFill="1" applyBorder="1"/>
    <xf numFmtId="0" fontId="4" fillId="13" borderId="0" xfId="0" applyFont="1" applyFill="1" applyBorder="1" applyAlignment="1">
      <alignment vertical="top" wrapText="1"/>
    </xf>
    <xf numFmtId="0" fontId="4" fillId="0" borderId="0" xfId="0" applyFont="1" applyBorder="1" applyAlignment="1">
      <alignment horizontal="center" vertical="center"/>
    </xf>
    <xf numFmtId="0" fontId="4" fillId="0" borderId="0" xfId="0" applyFont="1" applyFill="1" applyBorder="1" applyAlignment="1">
      <alignment vertical="center" wrapText="1"/>
    </xf>
    <xf numFmtId="3" fontId="11" fillId="12" borderId="0" xfId="0" applyNumberFormat="1" applyFont="1" applyFill="1" applyBorder="1" applyAlignment="1" applyProtection="1">
      <alignment horizontal="center" vertical="top" wrapText="1"/>
    </xf>
    <xf numFmtId="3" fontId="4" fillId="12" borderId="0" xfId="0" applyNumberFormat="1" applyFont="1" applyFill="1" applyBorder="1" applyAlignment="1" applyProtection="1">
      <alignment horizontal="center" vertical="top" wrapText="1"/>
    </xf>
    <xf numFmtId="0" fontId="7" fillId="3" borderId="0" xfId="0" applyFont="1" applyFill="1" applyBorder="1" applyAlignment="1">
      <alignment horizontal="center"/>
    </xf>
    <xf numFmtId="3" fontId="23" fillId="6" borderId="1" xfId="0" applyNumberFormat="1" applyFont="1" applyFill="1" applyBorder="1" applyAlignment="1" applyProtection="1">
      <alignment horizontal="center" vertical="top" wrapText="1"/>
    </xf>
    <xf numFmtId="10" fontId="4" fillId="0" borderId="0" xfId="0" applyNumberFormat="1" applyFont="1" applyBorder="1" applyAlignment="1">
      <alignment horizontal="center"/>
    </xf>
    <xf numFmtId="9" fontId="4" fillId="0" borderId="0" xfId="0" applyNumberFormat="1" applyFont="1" applyBorder="1" applyAlignment="1">
      <alignment horizontal="center"/>
    </xf>
    <xf numFmtId="0" fontId="4" fillId="15" borderId="0" xfId="0" applyFont="1" applyFill="1" applyBorder="1" applyAlignment="1">
      <alignment horizontal="center"/>
    </xf>
    <xf numFmtId="0" fontId="4" fillId="15" borderId="0" xfId="0" applyFont="1" applyFill="1" applyBorder="1" applyAlignment="1">
      <alignment horizontal="center" vertical="center"/>
    </xf>
    <xf numFmtId="0" fontId="4" fillId="16" borderId="0" xfId="0" applyFont="1" applyFill="1" applyBorder="1" applyAlignment="1">
      <alignment horizontal="center"/>
    </xf>
    <xf numFmtId="0" fontId="4" fillId="16" borderId="0" xfId="0" applyFont="1" applyFill="1" applyBorder="1" applyAlignment="1">
      <alignment vertical="top" wrapText="1"/>
    </xf>
    <xf numFmtId="0" fontId="18" fillId="15" borderId="0" xfId="0" applyFont="1" applyFill="1" applyBorder="1" applyAlignment="1">
      <alignment horizontal="center" wrapText="1"/>
    </xf>
    <xf numFmtId="0" fontId="18" fillId="15" borderId="0" xfId="0" applyFont="1" applyFill="1" applyBorder="1"/>
    <xf numFmtId="0" fontId="2" fillId="0" borderId="0" xfId="0" applyFont="1" applyFill="1" applyBorder="1" applyAlignment="1">
      <alignment vertical="top" wrapText="1"/>
    </xf>
    <xf numFmtId="0" fontId="6" fillId="17" borderId="0" xfId="0" applyFont="1" applyFill="1" applyBorder="1" applyAlignment="1">
      <alignment vertical="top" wrapText="1"/>
    </xf>
    <xf numFmtId="3" fontId="6" fillId="17" borderId="0" xfId="0" applyNumberFormat="1" applyFont="1" applyFill="1" applyBorder="1" applyAlignment="1" applyProtection="1">
      <alignment horizontal="center" vertical="top" wrapText="1"/>
    </xf>
    <xf numFmtId="0" fontId="4" fillId="0" borderId="9" xfId="0" applyFont="1" applyBorder="1"/>
    <xf numFmtId="0" fontId="4" fillId="0" borderId="9" xfId="0" applyFont="1" applyBorder="1" applyAlignment="1">
      <alignment horizontal="center"/>
    </xf>
    <xf numFmtId="0" fontId="2" fillId="0" borderId="9" xfId="0" applyFont="1" applyFill="1" applyBorder="1" applyAlignment="1">
      <alignment vertical="top" wrapText="1"/>
    </xf>
    <xf numFmtId="3" fontId="2" fillId="0" borderId="9" xfId="0" applyNumberFormat="1" applyFont="1" applyFill="1" applyBorder="1" applyAlignment="1" applyProtection="1">
      <alignment horizontal="center" vertical="top" wrapText="1"/>
    </xf>
    <xf numFmtId="0" fontId="4" fillId="0" borderId="9" xfId="0" applyFont="1" applyBorder="1" applyAlignment="1">
      <alignment vertical="top" wrapText="1"/>
    </xf>
    <xf numFmtId="0" fontId="18" fillId="15" borderId="9" xfId="0" applyFont="1" applyFill="1" applyBorder="1" applyAlignment="1">
      <alignment horizontal="center" wrapText="1"/>
    </xf>
    <xf numFmtId="0" fontId="18" fillId="0" borderId="0" xfId="0" applyFont="1" applyFill="1" applyBorder="1" applyAlignment="1">
      <alignment horizontal="center" wrapText="1"/>
    </xf>
    <xf numFmtId="0" fontId="4" fillId="0" borderId="10" xfId="0" applyFont="1" applyBorder="1"/>
    <xf numFmtId="0" fontId="4" fillId="0" borderId="11" xfId="0" applyFont="1" applyBorder="1" applyAlignment="1">
      <alignment horizontal="center"/>
    </xf>
    <xf numFmtId="0" fontId="4" fillId="0" borderId="11" xfId="0" applyFont="1" applyBorder="1"/>
    <xf numFmtId="0" fontId="6" fillId="0" borderId="11" xfId="0" applyFont="1" applyBorder="1"/>
    <xf numFmtId="3" fontId="6" fillId="0" borderId="11" xfId="0" applyNumberFormat="1" applyFont="1" applyBorder="1" applyAlignment="1" applyProtection="1">
      <alignment horizontal="center"/>
    </xf>
    <xf numFmtId="0" fontId="4" fillId="0" borderId="12" xfId="0" applyFont="1" applyBorder="1"/>
    <xf numFmtId="0" fontId="4" fillId="0" borderId="13" xfId="0" applyFont="1" applyBorder="1"/>
    <xf numFmtId="0" fontId="4" fillId="0" borderId="14" xfId="0" applyFont="1" applyBorder="1"/>
    <xf numFmtId="0" fontId="4" fillId="2" borderId="14" xfId="0" applyFont="1" applyFill="1" applyBorder="1"/>
    <xf numFmtId="0" fontId="4" fillId="0" borderId="15" xfId="0" applyFont="1" applyBorder="1"/>
    <xf numFmtId="0" fontId="4" fillId="0" borderId="16" xfId="0" applyFont="1" applyBorder="1"/>
    <xf numFmtId="3" fontId="4" fillId="3" borderId="1" xfId="0" applyNumberFormat="1" applyFont="1" applyFill="1" applyBorder="1" applyAlignment="1" applyProtection="1">
      <alignment horizontal="center"/>
      <protection locked="0"/>
    </xf>
    <xf numFmtId="3" fontId="4" fillId="3" borderId="6" xfId="0" applyNumberFormat="1" applyFont="1" applyFill="1" applyBorder="1" applyAlignment="1" applyProtection="1">
      <alignment horizontal="center"/>
      <protection locked="0"/>
    </xf>
    <xf numFmtId="3" fontId="27" fillId="3" borderId="1" xfId="0" applyNumberFormat="1" applyFont="1" applyFill="1" applyBorder="1" applyAlignment="1" applyProtection="1">
      <alignment horizontal="center" vertical="top" wrapText="1"/>
    </xf>
    <xf numFmtId="3" fontId="6" fillId="6" borderId="1" xfId="0" applyNumberFormat="1" applyFont="1" applyFill="1" applyBorder="1" applyAlignment="1" applyProtection="1">
      <alignment horizontal="center" vertical="top" wrapText="1"/>
    </xf>
    <xf numFmtId="3" fontId="6" fillId="3" borderId="1" xfId="0" applyNumberFormat="1" applyFont="1" applyFill="1" applyBorder="1" applyAlignment="1">
      <alignment horizontal="center"/>
    </xf>
    <xf numFmtId="0" fontId="6" fillId="0" borderId="0" xfId="0" applyFont="1" applyBorder="1" applyProtection="1"/>
    <xf numFmtId="3" fontId="6" fillId="6" borderId="1" xfId="0" applyNumberFormat="1" applyFont="1" applyFill="1" applyBorder="1" applyAlignment="1" applyProtection="1">
      <alignment horizontal="center"/>
    </xf>
    <xf numFmtId="0" fontId="26" fillId="15" borderId="0" xfId="0" applyFont="1" applyFill="1" applyBorder="1"/>
    <xf numFmtId="3" fontId="4" fillId="11" borderId="0" xfId="0" applyNumberFormat="1" applyFont="1" applyFill="1" applyBorder="1" applyAlignment="1">
      <alignment horizontal="center" vertical="top" wrapText="1"/>
    </xf>
    <xf numFmtId="3" fontId="6" fillId="11" borderId="0" xfId="0" applyNumberFormat="1" applyFont="1" applyFill="1" applyBorder="1" applyAlignment="1" applyProtection="1">
      <alignment horizontal="center"/>
    </xf>
    <xf numFmtId="0" fontId="18" fillId="15" borderId="17" xfId="0" applyFont="1" applyFill="1" applyBorder="1" applyAlignment="1">
      <alignment horizontal="center"/>
    </xf>
    <xf numFmtId="0" fontId="0" fillId="0" borderId="0" xfId="0" applyAlignment="1">
      <alignment vertical="center"/>
    </xf>
    <xf numFmtId="0" fontId="27" fillId="12" borderId="3" xfId="0" applyFont="1" applyFill="1" applyBorder="1" applyAlignment="1">
      <alignment horizontal="center"/>
    </xf>
    <xf numFmtId="0" fontId="11" fillId="0" borderId="0" xfId="0" applyFont="1" applyFill="1" applyBorder="1"/>
    <xf numFmtId="3" fontId="4" fillId="0" borderId="0" xfId="0" applyNumberFormat="1" applyFont="1" applyBorder="1" applyAlignment="1">
      <alignment horizontal="center"/>
    </xf>
    <xf numFmtId="3" fontId="6" fillId="6" borderId="1" xfId="0" applyNumberFormat="1" applyFont="1" applyFill="1" applyBorder="1" applyAlignment="1" applyProtection="1">
      <alignment horizontal="center" vertical="center"/>
    </xf>
    <xf numFmtId="3" fontId="6" fillId="6" borderId="1" xfId="0" applyNumberFormat="1" applyFont="1" applyFill="1" applyBorder="1" applyAlignment="1" applyProtection="1">
      <alignment horizontal="center" vertical="center" wrapText="1"/>
    </xf>
    <xf numFmtId="3" fontId="4" fillId="6" borderId="1" xfId="0" applyNumberFormat="1" applyFont="1" applyFill="1" applyBorder="1" applyAlignment="1" applyProtection="1">
      <alignment horizontal="center" vertical="top" wrapText="1"/>
      <protection locked="0"/>
    </xf>
    <xf numFmtId="3" fontId="4" fillId="6" borderId="1" xfId="0" applyNumberFormat="1" applyFont="1" applyFill="1" applyBorder="1" applyAlignment="1" applyProtection="1">
      <alignment horizontal="center" vertical="top" wrapText="1"/>
    </xf>
    <xf numFmtId="0" fontId="4" fillId="0" borderId="0" xfId="0" applyFont="1" applyBorder="1" applyAlignment="1">
      <alignment vertical="top" wrapText="1"/>
    </xf>
    <xf numFmtId="0" fontId="6" fillId="0" borderId="0" xfId="0" applyFont="1" applyBorder="1" applyAlignment="1">
      <alignment vertical="top" wrapText="1"/>
    </xf>
    <xf numFmtId="0" fontId="23" fillId="0" borderId="0" xfId="0" applyFont="1" applyFill="1" applyBorder="1"/>
    <xf numFmtId="0" fontId="23" fillId="0" borderId="0" xfId="0" applyFont="1" applyFill="1" applyBorder="1" applyAlignment="1">
      <alignment horizontal="center"/>
    </xf>
    <xf numFmtId="4" fontId="4" fillId="0" borderId="0" xfId="0" applyNumberFormat="1" applyFont="1" applyFill="1" applyBorder="1" applyAlignment="1" applyProtection="1">
      <alignment horizontal="center" vertical="top" wrapText="1"/>
      <protection locked="0"/>
    </xf>
    <xf numFmtId="3" fontId="23" fillId="0" borderId="0" xfId="0" applyNumberFormat="1" applyFont="1" applyFill="1" applyBorder="1" applyAlignment="1" applyProtection="1">
      <alignment horizontal="center"/>
    </xf>
    <xf numFmtId="0" fontId="2" fillId="0" borderId="0" xfId="0" applyFont="1" applyFill="1" applyBorder="1" applyAlignment="1">
      <alignment horizontal="center" wrapText="1"/>
    </xf>
    <xf numFmtId="3" fontId="4" fillId="0" borderId="0" xfId="0" applyNumberFormat="1" applyFont="1" applyFill="1" applyBorder="1" applyAlignment="1" applyProtection="1">
      <alignment horizontal="center" vertical="top" wrapText="1"/>
      <protection locked="0"/>
    </xf>
    <xf numFmtId="164" fontId="23" fillId="0" borderId="0" xfId="0" applyNumberFormat="1" applyFont="1" applyFill="1" applyBorder="1" applyAlignment="1" applyProtection="1">
      <alignment horizontal="center"/>
      <protection locked="0"/>
    </xf>
    <xf numFmtId="0" fontId="1" fillId="0" borderId="0" xfId="0" applyFont="1" applyAlignment="1">
      <alignment horizontal="center"/>
    </xf>
    <xf numFmtId="0" fontId="6" fillId="0" borderId="0" xfId="0" applyFont="1" applyAlignment="1">
      <alignment horizontal="center"/>
    </xf>
    <xf numFmtId="0" fontId="28" fillId="0" borderId="0" xfId="0" applyFont="1" applyFill="1" applyBorder="1"/>
    <xf numFmtId="0" fontId="32" fillId="0" borderId="0" xfId="0" applyFont="1"/>
    <xf numFmtId="3" fontId="6" fillId="0" borderId="0" xfId="0" applyNumberFormat="1" applyFont="1" applyFill="1" applyBorder="1" applyAlignment="1" applyProtection="1">
      <alignment horizontal="center" vertical="top" wrapText="1"/>
    </xf>
    <xf numFmtId="3" fontId="24" fillId="0" borderId="0" xfId="0" applyNumberFormat="1" applyFont="1" applyFill="1" applyBorder="1" applyAlignment="1" applyProtection="1">
      <alignment horizontal="center" vertical="top" wrapText="1"/>
    </xf>
    <xf numFmtId="3" fontId="4" fillId="6" borderId="20" xfId="0" applyNumberFormat="1" applyFont="1" applyFill="1" applyBorder="1" applyAlignment="1" applyProtection="1">
      <alignment horizontal="center" vertical="top" wrapText="1"/>
    </xf>
    <xf numFmtId="0" fontId="4" fillId="0" borderId="21" xfId="0" applyFont="1" applyBorder="1" applyAlignment="1">
      <alignment horizontal="center"/>
    </xf>
    <xf numFmtId="0" fontId="4" fillId="0" borderId="8" xfId="0" applyFont="1" applyBorder="1" applyAlignment="1">
      <alignment horizontal="center"/>
    </xf>
    <xf numFmtId="0" fontId="6" fillId="0" borderId="8" xfId="0" applyFont="1" applyBorder="1" applyAlignment="1">
      <alignment horizontal="left"/>
    </xf>
    <xf numFmtId="0" fontId="4" fillId="0" borderId="8" xfId="0" applyFont="1" applyBorder="1" applyAlignment="1">
      <alignment horizontal="left"/>
    </xf>
    <xf numFmtId="0" fontId="4" fillId="0" borderId="25" xfId="0" applyFont="1" applyBorder="1" applyAlignment="1">
      <alignment horizontal="center"/>
    </xf>
    <xf numFmtId="0" fontId="4" fillId="0" borderId="26" xfId="0" applyFont="1" applyBorder="1" applyAlignment="1">
      <alignment horizontal="center"/>
    </xf>
    <xf numFmtId="3" fontId="4" fillId="0" borderId="26" xfId="0" applyNumberFormat="1" applyFont="1" applyBorder="1" applyAlignment="1">
      <alignment horizontal="center"/>
    </xf>
    <xf numFmtId="0" fontId="4" fillId="0" borderId="0" xfId="0" applyFont="1" applyBorder="1" applyAlignment="1">
      <alignment horizontal="center" wrapText="1"/>
    </xf>
    <xf numFmtId="0" fontId="4" fillId="0" borderId="22" xfId="0" applyFont="1" applyBorder="1" applyAlignment="1">
      <alignment horizontal="center"/>
    </xf>
    <xf numFmtId="0" fontId="4" fillId="19" borderId="0" xfId="0" applyFont="1" applyFill="1" applyBorder="1" applyAlignment="1">
      <alignment horizontal="center"/>
    </xf>
    <xf numFmtId="3" fontId="4" fillId="19" borderId="0" xfId="0" applyNumberFormat="1" applyFont="1" applyFill="1" applyBorder="1" applyAlignment="1">
      <alignment horizontal="center"/>
    </xf>
    <xf numFmtId="0" fontId="0" fillId="19" borderId="0" xfId="0" applyFill="1" applyBorder="1"/>
    <xf numFmtId="0" fontId="4" fillId="19" borderId="26" xfId="0" applyFont="1" applyFill="1" applyBorder="1" applyAlignment="1">
      <alignment horizontal="center"/>
    </xf>
    <xf numFmtId="0" fontId="6" fillId="0" borderId="26" xfId="0" applyFont="1" applyBorder="1" applyAlignment="1">
      <alignment horizontal="center"/>
    </xf>
    <xf numFmtId="3" fontId="12" fillId="0" borderId="0" xfId="0" applyNumberFormat="1" applyFont="1" applyAlignment="1">
      <alignment horizontal="center"/>
    </xf>
    <xf numFmtId="0" fontId="2" fillId="0" borderId="0" xfId="0" applyFont="1" applyAlignment="1">
      <alignment horizontal="center"/>
    </xf>
    <xf numFmtId="3" fontId="4" fillId="20" borderId="29" xfId="0" applyNumberFormat="1" applyFont="1" applyFill="1" applyBorder="1" applyAlignment="1">
      <alignment horizontal="center"/>
    </xf>
    <xf numFmtId="0" fontId="0" fillId="20" borderId="30" xfId="0" applyFill="1" applyBorder="1" applyAlignment="1">
      <alignment horizontal="center"/>
    </xf>
    <xf numFmtId="0" fontId="6" fillId="19" borderId="26" xfId="0" applyFont="1" applyFill="1" applyBorder="1" applyAlignment="1">
      <alignment horizontal="center"/>
    </xf>
    <xf numFmtId="0" fontId="6" fillId="19" borderId="26" xfId="0" applyFont="1" applyFill="1" applyBorder="1" applyAlignment="1">
      <alignment horizontal="center" wrapText="1"/>
    </xf>
    <xf numFmtId="0" fontId="0" fillId="20" borderId="29" xfId="0" applyFill="1" applyBorder="1"/>
    <xf numFmtId="0" fontId="0" fillId="20" borderId="30" xfId="0" applyFill="1" applyBorder="1"/>
    <xf numFmtId="0" fontId="4" fillId="8" borderId="0" xfId="0" applyFont="1" applyFill="1" applyBorder="1" applyAlignment="1">
      <alignment horizontal="center"/>
    </xf>
    <xf numFmtId="3" fontId="4" fillId="8" borderId="0" xfId="0" applyNumberFormat="1" applyFont="1" applyFill="1" applyBorder="1" applyAlignment="1">
      <alignment horizontal="center"/>
    </xf>
    <xf numFmtId="3" fontId="4" fillId="8" borderId="26" xfId="0" applyNumberFormat="1" applyFont="1" applyFill="1" applyBorder="1" applyAlignment="1">
      <alignment horizontal="center"/>
    </xf>
    <xf numFmtId="0" fontId="0" fillId="8" borderId="29" xfId="0" applyFill="1" applyBorder="1"/>
    <xf numFmtId="0" fontId="0" fillId="8" borderId="30" xfId="0" applyFill="1" applyBorder="1"/>
    <xf numFmtId="164" fontId="2" fillId="3" borderId="1" xfId="0" applyNumberFormat="1" applyFont="1" applyFill="1" applyBorder="1" applyAlignment="1" applyProtection="1">
      <alignment horizontal="center"/>
      <protection locked="0"/>
    </xf>
    <xf numFmtId="0" fontId="37" fillId="0" borderId="0" xfId="0" applyFont="1"/>
    <xf numFmtId="3" fontId="13" fillId="0" borderId="0" xfId="0" applyNumberFormat="1" applyFont="1" applyAlignment="1">
      <alignment horizontal="center"/>
    </xf>
    <xf numFmtId="0" fontId="13" fillId="0" borderId="0" xfId="0" applyFont="1" applyAlignment="1">
      <alignment horizontal="center"/>
    </xf>
    <xf numFmtId="0" fontId="4" fillId="0" borderId="32" xfId="0" applyFont="1" applyBorder="1"/>
    <xf numFmtId="0" fontId="34" fillId="0" borderId="0" xfId="0" applyFont="1" applyBorder="1" applyAlignment="1">
      <alignment horizontal="center"/>
    </xf>
    <xf numFmtId="0" fontId="34" fillId="0" borderId="0" xfId="0" applyFont="1" applyFill="1" applyBorder="1" applyAlignment="1">
      <alignment horizontal="center"/>
    </xf>
    <xf numFmtId="0" fontId="25" fillId="0" borderId="0" xfId="0" applyFont="1" applyBorder="1"/>
    <xf numFmtId="0" fontId="39" fillId="4" borderId="0" xfId="0" applyFont="1" applyFill="1" applyBorder="1" applyAlignment="1">
      <alignment horizontal="center" vertical="center" wrapText="1"/>
    </xf>
    <xf numFmtId="0" fontId="42" fillId="4" borderId="0" xfId="0" applyFont="1" applyFill="1" applyBorder="1" applyAlignment="1">
      <alignment horizontal="center" vertical="center" wrapText="1"/>
    </xf>
    <xf numFmtId="0" fontId="25" fillId="0" borderId="0" xfId="0" applyFont="1" applyBorder="1" applyAlignment="1">
      <alignment horizontal="center"/>
    </xf>
    <xf numFmtId="0" fontId="38" fillId="8" borderId="0" xfId="0" applyFont="1" applyFill="1" applyBorder="1" applyAlignment="1">
      <alignment vertical="top" wrapText="1"/>
    </xf>
    <xf numFmtId="3" fontId="38" fillId="8" borderId="0" xfId="0" applyNumberFormat="1" applyFont="1" applyFill="1" applyBorder="1" applyAlignment="1" applyProtection="1">
      <alignment horizontal="center" vertical="top" wrapText="1"/>
    </xf>
    <xf numFmtId="0" fontId="25" fillId="0" borderId="0" xfId="0" applyFont="1" applyFill="1" applyBorder="1"/>
    <xf numFmtId="0" fontId="2" fillId="0" borderId="0" xfId="0" applyFont="1" applyBorder="1"/>
    <xf numFmtId="0" fontId="2" fillId="0" borderId="0" xfId="0" applyFont="1" applyBorder="1" applyProtection="1">
      <protection locked="0"/>
    </xf>
    <xf numFmtId="0" fontId="12" fillId="0" borderId="0" xfId="0" applyFont="1" applyAlignment="1">
      <alignment horizontal="center"/>
    </xf>
    <xf numFmtId="0" fontId="44" fillId="0" borderId="0" xfId="0" applyFont="1" applyFill="1" applyBorder="1"/>
    <xf numFmtId="0" fontId="6" fillId="0" borderId="22" xfId="0" applyFont="1" applyBorder="1" applyAlignment="1">
      <alignment horizontal="center"/>
    </xf>
    <xf numFmtId="0" fontId="33" fillId="20" borderId="28" xfId="0" applyFont="1" applyFill="1" applyBorder="1" applyAlignment="1">
      <alignment horizontal="center" wrapText="1"/>
    </xf>
    <xf numFmtId="0" fontId="0" fillId="0" borderId="0" xfId="0" applyAlignment="1"/>
    <xf numFmtId="0" fontId="45" fillId="7" borderId="33" xfId="0" applyFont="1" applyFill="1" applyBorder="1" applyAlignment="1">
      <alignment horizontal="center" wrapText="1"/>
    </xf>
    <xf numFmtId="0" fontId="23" fillId="0" borderId="0" xfId="0" applyFont="1" applyFill="1" applyBorder="1" applyAlignment="1">
      <alignment horizontal="center"/>
    </xf>
    <xf numFmtId="0" fontId="1" fillId="0" borderId="0" xfId="0" applyFont="1" applyFill="1" applyBorder="1" applyAlignment="1">
      <alignment horizontal="center"/>
    </xf>
    <xf numFmtId="0" fontId="26" fillId="15" borderId="0" xfId="0" applyFont="1" applyFill="1" applyBorder="1" applyAlignment="1">
      <alignment horizontal="center"/>
    </xf>
    <xf numFmtId="3" fontId="4" fillId="18" borderId="0" xfId="0" applyNumberFormat="1" applyFont="1" applyFill="1" applyBorder="1" applyAlignment="1" applyProtection="1">
      <alignment horizontal="center"/>
      <protection locked="0"/>
    </xf>
    <xf numFmtId="9" fontId="2" fillId="18" borderId="0" xfId="0" applyNumberFormat="1" applyFont="1" applyFill="1" applyBorder="1" applyAlignment="1" applyProtection="1">
      <alignment horizontal="center"/>
      <protection locked="0"/>
    </xf>
    <xf numFmtId="0" fontId="4" fillId="19" borderId="26" xfId="0" applyFont="1" applyFill="1" applyBorder="1" applyAlignment="1">
      <alignment horizontal="center" vertical="center" wrapText="1"/>
    </xf>
    <xf numFmtId="3" fontId="4" fillId="0" borderId="0" xfId="0" applyNumberFormat="1" applyFont="1" applyFill="1" applyBorder="1" applyAlignment="1">
      <alignment horizontal="center"/>
    </xf>
    <xf numFmtId="0" fontId="6" fillId="0" borderId="22" xfId="0" applyFont="1" applyFill="1" applyBorder="1" applyAlignment="1">
      <alignment horizontal="center"/>
    </xf>
    <xf numFmtId="0" fontId="0" fillId="0" borderId="26" xfId="0" applyBorder="1"/>
    <xf numFmtId="0" fontId="6" fillId="8" borderId="26" xfId="0" applyFont="1" applyFill="1" applyBorder="1" applyAlignment="1">
      <alignment horizontal="center" wrapText="1"/>
    </xf>
    <xf numFmtId="0" fontId="6" fillId="0" borderId="23" xfId="0" applyFont="1" applyBorder="1" applyAlignment="1">
      <alignment horizontal="center"/>
    </xf>
    <xf numFmtId="0" fontId="6" fillId="0" borderId="25" xfId="0" applyFont="1" applyBorder="1" applyAlignment="1">
      <alignment horizontal="center"/>
    </xf>
    <xf numFmtId="0" fontId="6" fillId="0" borderId="27" xfId="0" applyFont="1" applyBorder="1" applyAlignment="1">
      <alignment horizontal="center"/>
    </xf>
    <xf numFmtId="0" fontId="4" fillId="19" borderId="27" xfId="0" applyFont="1" applyFill="1" applyBorder="1" applyAlignment="1">
      <alignment horizontal="center" wrapText="1"/>
    </xf>
    <xf numFmtId="0" fontId="4" fillId="0" borderId="24" xfId="0" applyFont="1" applyBorder="1" applyAlignment="1">
      <alignment horizontal="center"/>
    </xf>
    <xf numFmtId="3" fontId="4" fillId="18" borderId="8" xfId="0" applyNumberFormat="1" applyFont="1" applyFill="1" applyBorder="1" applyAlignment="1" applyProtection="1">
      <alignment horizontal="center"/>
      <protection locked="0"/>
    </xf>
    <xf numFmtId="3" fontId="4" fillId="18" borderId="24" xfId="0" applyNumberFormat="1" applyFont="1" applyFill="1" applyBorder="1" applyAlignment="1" applyProtection="1">
      <alignment horizontal="center"/>
      <protection locked="0"/>
    </xf>
    <xf numFmtId="3" fontId="4" fillId="0" borderId="8" xfId="0" applyNumberFormat="1" applyFont="1" applyBorder="1" applyAlignment="1">
      <alignment horizontal="center"/>
    </xf>
    <xf numFmtId="3" fontId="4" fillId="0" borderId="24" xfId="0" applyNumberFormat="1" applyFont="1" applyBorder="1" applyAlignment="1">
      <alignment horizontal="center"/>
    </xf>
    <xf numFmtId="3" fontId="4" fillId="0" borderId="25" xfId="0" applyNumberFormat="1" applyFont="1" applyBorder="1" applyAlignment="1">
      <alignment horizontal="center"/>
    </xf>
    <xf numFmtId="3" fontId="4" fillId="0" borderId="27" xfId="0" applyNumberFormat="1" applyFont="1" applyBorder="1" applyAlignment="1">
      <alignment horizontal="center"/>
    </xf>
    <xf numFmtId="0" fontId="4" fillId="0" borderId="27" xfId="0" applyFont="1" applyBorder="1" applyAlignment="1">
      <alignment horizontal="center"/>
    </xf>
    <xf numFmtId="0" fontId="6" fillId="0" borderId="27" xfId="0" applyFont="1" applyBorder="1" applyAlignment="1">
      <alignment horizontal="center" vertical="center"/>
    </xf>
    <xf numFmtId="9" fontId="2" fillId="18" borderId="8" xfId="0" applyNumberFormat="1" applyFont="1" applyFill="1" applyBorder="1" applyAlignment="1" applyProtection="1">
      <alignment horizontal="center"/>
      <protection locked="0"/>
    </xf>
    <xf numFmtId="164" fontId="2" fillId="3" borderId="24" xfId="0" applyNumberFormat="1" applyFont="1" applyFill="1" applyBorder="1" applyAlignment="1" applyProtection="1">
      <alignment horizontal="center"/>
      <protection locked="0"/>
    </xf>
    <xf numFmtId="0" fontId="1" fillId="19" borderId="28" xfId="0" applyFont="1" applyFill="1" applyBorder="1"/>
    <xf numFmtId="0" fontId="4" fillId="19" borderId="30" xfId="0" applyFont="1" applyFill="1" applyBorder="1" applyAlignment="1">
      <alignment horizontal="center"/>
    </xf>
    <xf numFmtId="0" fontId="7" fillId="3" borderId="0" xfId="0" applyFont="1" applyFill="1" applyBorder="1" applyAlignment="1">
      <alignment horizontal="left"/>
    </xf>
    <xf numFmtId="0" fontId="0" fillId="3" borderId="0" xfId="0" applyFill="1"/>
    <xf numFmtId="0" fontId="2" fillId="3" borderId="0" xfId="0" applyFont="1" applyFill="1" applyBorder="1" applyAlignment="1" applyProtection="1">
      <alignment vertical="top" wrapText="1"/>
      <protection locked="0"/>
    </xf>
    <xf numFmtId="0" fontId="6" fillId="11" borderId="0" xfId="0" applyFont="1" applyFill="1" applyBorder="1" applyAlignment="1">
      <alignment horizontal="right" vertical="top" wrapText="1"/>
    </xf>
    <xf numFmtId="3" fontId="13" fillId="0" borderId="0" xfId="0" applyNumberFormat="1" applyFont="1" applyFill="1" applyBorder="1" applyAlignment="1" applyProtection="1">
      <alignment horizontal="center" vertical="top" wrapText="1"/>
    </xf>
    <xf numFmtId="0" fontId="4" fillId="0" borderId="0" xfId="0" applyFont="1" applyBorder="1" applyAlignment="1" applyProtection="1">
      <alignment vertical="top" wrapText="1"/>
    </xf>
    <xf numFmtId="0" fontId="2" fillId="15" borderId="17" xfId="0" applyFont="1" applyFill="1" applyBorder="1" applyAlignment="1" applyProtection="1">
      <alignment horizontal="center"/>
      <protection locked="0"/>
    </xf>
    <xf numFmtId="9" fontId="2" fillId="20" borderId="28" xfId="0" applyNumberFormat="1" applyFont="1" applyFill="1" applyBorder="1" applyAlignment="1" applyProtection="1">
      <alignment horizontal="center" wrapText="1"/>
      <protection locked="0"/>
    </xf>
    <xf numFmtId="9" fontId="2" fillId="8" borderId="28" xfId="0" applyNumberFormat="1" applyFont="1" applyFill="1" applyBorder="1" applyAlignment="1" applyProtection="1">
      <alignment horizontal="center" wrapText="1"/>
      <protection locked="0"/>
    </xf>
    <xf numFmtId="164" fontId="2" fillId="3" borderId="6" xfId="0" applyNumberFormat="1" applyFont="1" applyFill="1" applyBorder="1" applyAlignment="1" applyProtection="1">
      <alignment horizontal="center"/>
      <protection locked="0"/>
    </xf>
    <xf numFmtId="3" fontId="20" fillId="21" borderId="34" xfId="0" applyNumberFormat="1" applyFont="1" applyFill="1" applyBorder="1" applyAlignment="1" applyProtection="1">
      <alignment horizontal="center"/>
    </xf>
    <xf numFmtId="0" fontId="3" fillId="0" borderId="0" xfId="0" applyFont="1" applyFill="1" applyBorder="1" applyAlignment="1">
      <alignment horizontal="center"/>
    </xf>
    <xf numFmtId="3" fontId="2" fillId="3" borderId="3" xfId="0" applyNumberFormat="1" applyFont="1" applyFill="1" applyBorder="1" applyAlignment="1" applyProtection="1">
      <alignment horizontal="center"/>
      <protection locked="0"/>
    </xf>
    <xf numFmtId="0" fontId="4" fillId="0" borderId="0" xfId="0" applyFont="1" applyBorder="1" applyAlignment="1">
      <alignment vertical="top" wrapText="1"/>
    </xf>
    <xf numFmtId="0" fontId="23" fillId="19" borderId="30" xfId="0" applyFont="1" applyFill="1" applyBorder="1" applyAlignment="1">
      <alignment horizontal="center" wrapText="1"/>
    </xf>
    <xf numFmtId="0" fontId="23" fillId="19" borderId="29" xfId="0" applyFont="1" applyFill="1" applyBorder="1" applyAlignment="1">
      <alignment horizontal="center"/>
    </xf>
    <xf numFmtId="3" fontId="23" fillId="19" borderId="29" xfId="0" applyNumberFormat="1" applyFont="1" applyFill="1" applyBorder="1" applyAlignment="1">
      <alignment horizontal="center"/>
    </xf>
    <xf numFmtId="0" fontId="30" fillId="19" borderId="29" xfId="0" applyFont="1" applyFill="1" applyBorder="1"/>
    <xf numFmtId="3" fontId="23" fillId="0" borderId="1" xfId="0" applyNumberFormat="1" applyFont="1" applyFill="1" applyBorder="1" applyAlignment="1" applyProtection="1">
      <alignment horizontal="center" vertical="center" wrapText="1"/>
    </xf>
    <xf numFmtId="0" fontId="4" fillId="0" borderId="4" xfId="0" applyFont="1" applyBorder="1" applyAlignment="1">
      <alignment horizontal="center"/>
    </xf>
    <xf numFmtId="0" fontId="4" fillId="0" borderId="17"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18" xfId="0" applyFont="1" applyBorder="1" applyAlignment="1">
      <alignment horizontal="center"/>
    </xf>
    <xf numFmtId="0" fontId="4" fillId="0" borderId="3" xfId="0" applyFont="1" applyBorder="1" applyAlignment="1">
      <alignment horizontal="center" wrapText="1"/>
    </xf>
    <xf numFmtId="0" fontId="4" fillId="0" borderId="3" xfId="0" applyFont="1" applyBorder="1" applyAlignment="1">
      <alignment horizontal="center" vertical="center"/>
    </xf>
    <xf numFmtId="0" fontId="4" fillId="0" borderId="0" xfId="0" applyFont="1" applyAlignment="1">
      <alignment vertical="center"/>
    </xf>
    <xf numFmtId="0" fontId="4" fillId="0" borderId="19" xfId="0" applyFont="1" applyBorder="1" applyAlignment="1">
      <alignment horizontal="center" vertical="center"/>
    </xf>
    <xf numFmtId="3" fontId="23" fillId="0" borderId="0" xfId="0" applyNumberFormat="1" applyFont="1" applyBorder="1" applyAlignment="1">
      <alignment horizontal="center" vertical="center" wrapText="1"/>
    </xf>
    <xf numFmtId="0" fontId="18" fillId="15" borderId="1" xfId="0" applyFont="1" applyFill="1" applyBorder="1" applyAlignment="1">
      <alignment horizontal="center" vertical="top" wrapText="1"/>
    </xf>
    <xf numFmtId="3" fontId="23" fillId="6" borderId="20" xfId="0" applyNumberFormat="1" applyFont="1" applyFill="1" applyBorder="1" applyAlignment="1" applyProtection="1">
      <alignment horizontal="center" vertical="top" wrapText="1"/>
    </xf>
    <xf numFmtId="3" fontId="2" fillId="3" borderId="3" xfId="0" applyNumberFormat="1" applyFont="1" applyFill="1" applyBorder="1" applyAlignment="1" applyProtection="1">
      <alignment horizontal="center" wrapText="1"/>
      <protection locked="0"/>
    </xf>
    <xf numFmtId="0" fontId="19" fillId="0" borderId="0" xfId="0" applyFont="1" applyBorder="1" applyAlignment="1">
      <alignment horizontal="center" vertical="top"/>
    </xf>
    <xf numFmtId="0" fontId="2" fillId="0" borderId="0" xfId="0" applyFont="1" applyFill="1" applyBorder="1" applyProtection="1">
      <protection locked="0"/>
    </xf>
    <xf numFmtId="0" fontId="39" fillId="0" borderId="0" xfId="0" applyFont="1" applyAlignment="1">
      <alignment horizontal="right"/>
    </xf>
    <xf numFmtId="0" fontId="39" fillId="22" borderId="8" xfId="0" applyFont="1" applyFill="1" applyBorder="1" applyAlignment="1">
      <alignment horizontal="center"/>
    </xf>
    <xf numFmtId="0" fontId="12" fillId="22" borderId="0" xfId="0" applyFont="1" applyFill="1" applyBorder="1" applyAlignment="1">
      <alignment horizontal="center"/>
    </xf>
    <xf numFmtId="0" fontId="6" fillId="22" borderId="0" xfId="0" applyFont="1" applyFill="1" applyBorder="1" applyAlignment="1">
      <alignment horizontal="center"/>
    </xf>
    <xf numFmtId="0" fontId="32" fillId="22" borderId="0" xfId="0" applyFont="1" applyFill="1" applyBorder="1" applyAlignment="1" applyProtection="1">
      <alignment horizontal="center"/>
      <protection locked="0"/>
    </xf>
    <xf numFmtId="0" fontId="4" fillId="23" borderId="0" xfId="0" applyFont="1" applyFill="1" applyBorder="1" applyAlignment="1">
      <alignment horizontal="center" vertical="center"/>
    </xf>
    <xf numFmtId="0" fontId="4" fillId="23" borderId="0" xfId="0" applyFont="1" applyFill="1" applyBorder="1" applyAlignment="1">
      <alignment horizontal="center"/>
    </xf>
    <xf numFmtId="3" fontId="4" fillId="6" borderId="37" xfId="0" applyNumberFormat="1" applyFont="1" applyFill="1" applyBorder="1" applyAlignment="1" applyProtection="1">
      <alignment horizontal="center" vertical="top" wrapText="1"/>
      <protection locked="0"/>
    </xf>
    <xf numFmtId="3" fontId="4" fillId="6" borderId="30" xfId="0" applyNumberFormat="1" applyFont="1" applyFill="1" applyBorder="1" applyAlignment="1" applyProtection="1">
      <alignment horizontal="center" vertical="top" wrapText="1"/>
      <protection locked="0"/>
    </xf>
    <xf numFmtId="10" fontId="4" fillId="0" borderId="0" xfId="0" applyNumberFormat="1" applyFont="1" applyFill="1" applyBorder="1"/>
    <xf numFmtId="10" fontId="4" fillId="0" borderId="0" xfId="0" applyNumberFormat="1" applyFont="1" applyBorder="1"/>
    <xf numFmtId="3" fontId="4" fillId="6" borderId="38" xfId="0" applyNumberFormat="1" applyFont="1" applyFill="1" applyBorder="1" applyAlignment="1" applyProtection="1">
      <alignment horizontal="center" vertical="top" wrapText="1"/>
      <protection locked="0"/>
    </xf>
    <xf numFmtId="0" fontId="31" fillId="23" borderId="0" xfId="0" applyFont="1" applyFill="1" applyBorder="1" applyAlignment="1">
      <alignment horizontal="center"/>
    </xf>
    <xf numFmtId="0" fontId="4" fillId="24" borderId="0" xfId="0" applyFont="1" applyFill="1" applyBorder="1" applyAlignment="1">
      <alignment horizontal="center"/>
    </xf>
    <xf numFmtId="0" fontId="0" fillId="24" borderId="0" xfId="0" applyFill="1"/>
    <xf numFmtId="0" fontId="4" fillId="24" borderId="26" xfId="0" applyFont="1" applyFill="1" applyBorder="1" applyAlignment="1">
      <alignment horizontal="center"/>
    </xf>
    <xf numFmtId="0" fontId="39" fillId="0" borderId="0" xfId="0" applyFont="1"/>
    <xf numFmtId="0" fontId="23" fillId="0" borderId="0" xfId="0" applyFont="1" applyFill="1" applyBorder="1" applyAlignment="1">
      <alignment horizontal="center"/>
    </xf>
    <xf numFmtId="0" fontId="23"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xf numFmtId="0" fontId="4" fillId="3" borderId="40" xfId="0" applyFont="1" applyFill="1" applyBorder="1" applyAlignment="1" applyProtection="1">
      <alignment horizontal="center"/>
      <protection locked="0"/>
    </xf>
    <xf numFmtId="0" fontId="4" fillId="3" borderId="41" xfId="0" applyFont="1" applyFill="1" applyBorder="1" applyAlignment="1" applyProtection="1">
      <alignment horizontal="center"/>
      <protection locked="0"/>
    </xf>
    <xf numFmtId="0" fontId="4" fillId="3" borderId="42" xfId="0" applyFont="1" applyFill="1" applyBorder="1" applyAlignment="1" applyProtection="1">
      <alignment horizontal="center"/>
      <protection locked="0"/>
    </xf>
    <xf numFmtId="0" fontId="4" fillId="3" borderId="3" xfId="0" applyFont="1" applyFill="1" applyBorder="1" applyAlignment="1" applyProtection="1">
      <alignment horizontal="center"/>
      <protection locked="0"/>
    </xf>
    <xf numFmtId="3" fontId="4" fillId="0" borderId="43" xfId="0" applyNumberFormat="1" applyFont="1" applyBorder="1" applyAlignment="1" applyProtection="1">
      <alignment horizontal="center"/>
    </xf>
    <xf numFmtId="0" fontId="0" fillId="0" borderId="45" xfId="0" applyBorder="1" applyAlignment="1"/>
    <xf numFmtId="0" fontId="4" fillId="0" borderId="23" xfId="0" applyFont="1" applyBorder="1" applyAlignment="1">
      <alignment horizontal="center"/>
    </xf>
    <xf numFmtId="3" fontId="23" fillId="8" borderId="29" xfId="0" applyNumberFormat="1" applyFont="1" applyFill="1" applyBorder="1" applyAlignment="1">
      <alignment horizontal="center"/>
    </xf>
    <xf numFmtId="0" fontId="47" fillId="0" borderId="0" xfId="0" applyFont="1" applyAlignment="1">
      <alignment horizontal="center"/>
    </xf>
    <xf numFmtId="3" fontId="47" fillId="0" borderId="0" xfId="0" applyNumberFormat="1" applyFont="1" applyAlignment="1">
      <alignment horizontal="center"/>
    </xf>
    <xf numFmtId="0" fontId="30" fillId="0" borderId="0" xfId="0" applyFont="1" applyAlignment="1">
      <alignment horizontal="center" vertical="top" wrapText="1"/>
    </xf>
    <xf numFmtId="0" fontId="32" fillId="3" borderId="44"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protection locked="0"/>
    </xf>
    <xf numFmtId="0" fontId="4" fillId="11" borderId="46" xfId="0" applyFont="1" applyFill="1" applyBorder="1"/>
    <xf numFmtId="0" fontId="4" fillId="11" borderId="0" xfId="0" applyFont="1" applyFill="1" applyBorder="1" applyAlignment="1">
      <alignment horizontal="center"/>
    </xf>
    <xf numFmtId="0" fontId="5" fillId="0" borderId="0" xfId="0" applyFont="1" applyAlignment="1">
      <alignment horizont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center"/>
    </xf>
    <xf numFmtId="0" fontId="2" fillId="0" borderId="3" xfId="0" applyFont="1" applyBorder="1" applyAlignment="1">
      <alignment horizontal="center"/>
    </xf>
    <xf numFmtId="0" fontId="2" fillId="0" borderId="18" xfId="0" applyFont="1" applyBorder="1" applyAlignment="1">
      <alignment horizontal="center"/>
    </xf>
    <xf numFmtId="0" fontId="4" fillId="0" borderId="7" xfId="0" applyFont="1" applyBorder="1" applyAlignment="1">
      <alignment horizontal="center"/>
    </xf>
    <xf numFmtId="0" fontId="4" fillId="0" borderId="3" xfId="0" applyFont="1" applyBorder="1" applyAlignment="1">
      <alignment horizontal="center"/>
    </xf>
    <xf numFmtId="0" fontId="4" fillId="0" borderId="7" xfId="0" applyFont="1" applyBorder="1" applyAlignment="1">
      <alignment horizontal="center" vertical="center" wrapText="1"/>
    </xf>
    <xf numFmtId="0" fontId="15" fillId="9" borderId="0" xfId="0" applyFont="1" applyFill="1" applyBorder="1" applyAlignment="1">
      <alignment horizontal="center"/>
    </xf>
    <xf numFmtId="0" fontId="0" fillId="0" borderId="0" xfId="0" applyAlignment="1"/>
    <xf numFmtId="0" fontId="46" fillId="8" borderId="28" xfId="0" applyFont="1" applyFill="1" applyBorder="1" applyAlignment="1">
      <alignment horizontal="center" wrapText="1"/>
    </xf>
    <xf numFmtId="0" fontId="47" fillId="8" borderId="29" xfId="0" applyFont="1" applyFill="1" applyBorder="1" applyAlignment="1"/>
    <xf numFmtId="0" fontId="33" fillId="20" borderId="28" xfId="0" applyFont="1" applyFill="1" applyBorder="1" applyAlignment="1">
      <alignment horizontal="center" wrapText="1"/>
    </xf>
    <xf numFmtId="0" fontId="0" fillId="0" borderId="30" xfId="0" applyBorder="1" applyAlignment="1"/>
    <xf numFmtId="0" fontId="7" fillId="19" borderId="35" xfId="0" applyFont="1" applyFill="1" applyBorder="1" applyAlignment="1">
      <alignment horizontal="center"/>
    </xf>
    <xf numFmtId="0" fontId="7" fillId="19" borderId="31" xfId="0" applyFont="1" applyFill="1" applyBorder="1" applyAlignment="1">
      <alignment horizontal="center"/>
    </xf>
    <xf numFmtId="0" fontId="7" fillId="19" borderId="36" xfId="0" applyFont="1" applyFill="1" applyBorder="1" applyAlignment="1">
      <alignment horizontal="center"/>
    </xf>
    <xf numFmtId="0" fontId="4" fillId="0" borderId="35" xfId="0" applyFont="1" applyBorder="1" applyAlignment="1">
      <alignment horizontal="center" wrapText="1"/>
    </xf>
    <xf numFmtId="0" fontId="0" fillId="0" borderId="31" xfId="0" applyBorder="1" applyAlignment="1">
      <alignment horizontal="center" wrapText="1"/>
    </xf>
    <xf numFmtId="0" fontId="6" fillId="0" borderId="21" xfId="0" applyFont="1" applyBorder="1" applyAlignment="1">
      <alignment horizontal="center"/>
    </xf>
    <xf numFmtId="0" fontId="6" fillId="0" borderId="22" xfId="0" applyFont="1" applyBorder="1" applyAlignment="1">
      <alignment horizontal="center"/>
    </xf>
    <xf numFmtId="0" fontId="35" fillId="19" borderId="22" xfId="0" applyFont="1" applyFill="1" applyBorder="1" applyAlignment="1">
      <alignment horizontal="center" wrapText="1"/>
    </xf>
    <xf numFmtId="0" fontId="36" fillId="19" borderId="22" xfId="0" applyFont="1" applyFill="1" applyBorder="1" applyAlignment="1">
      <alignment wrapText="1"/>
    </xf>
    <xf numFmtId="0" fontId="36" fillId="19" borderId="26" xfId="0" applyFont="1" applyFill="1" applyBorder="1" applyAlignment="1">
      <alignment wrapText="1"/>
    </xf>
    <xf numFmtId="164" fontId="6" fillId="19" borderId="35" xfId="0" applyNumberFormat="1" applyFont="1" applyFill="1" applyBorder="1" applyAlignment="1" applyProtection="1">
      <alignment horizontal="center" vertical="center" wrapText="1" shrinkToFit="1"/>
      <protection locked="0"/>
    </xf>
    <xf numFmtId="0" fontId="0" fillId="19" borderId="39" xfId="0" applyFont="1" applyFill="1" applyBorder="1" applyAlignment="1">
      <alignment horizontal="center" vertical="center" wrapText="1"/>
    </xf>
    <xf numFmtId="0" fontId="6" fillId="0" borderId="0" xfId="0" applyFont="1" applyBorder="1" applyAlignment="1">
      <alignment vertical="top" wrapText="1"/>
    </xf>
    <xf numFmtId="0" fontId="23" fillId="0" borderId="0" xfId="0" applyFont="1" applyFill="1" applyBorder="1" applyAlignment="1">
      <alignment horizontal="left"/>
    </xf>
    <xf numFmtId="0" fontId="30" fillId="0" borderId="0" xfId="0" applyFont="1" applyFill="1" applyBorder="1" applyAlignment="1">
      <alignment horizontal="left"/>
    </xf>
    <xf numFmtId="0" fontId="28"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23"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xf numFmtId="0" fontId="18" fillId="15" borderId="0" xfId="0" applyFont="1" applyFill="1" applyBorder="1" applyAlignment="1">
      <alignment horizontal="center" vertical="center" wrapText="1"/>
    </xf>
    <xf numFmtId="0" fontId="0" fillId="0" borderId="14" xfId="0" applyBorder="1" applyAlignment="1">
      <alignment horizontal="center" vertical="center"/>
    </xf>
    <xf numFmtId="0" fontId="4" fillId="0" borderId="0" xfId="0" applyFont="1" applyBorder="1" applyAlignment="1">
      <alignment vertical="top" wrapText="1"/>
    </xf>
    <xf numFmtId="0" fontId="6" fillId="2" borderId="8" xfId="0" applyFont="1" applyFill="1" applyBorder="1" applyAlignment="1">
      <alignment vertical="top" wrapText="1"/>
    </xf>
    <xf numFmtId="0" fontId="20" fillId="14" borderId="13" xfId="0" applyFont="1" applyFill="1" applyBorder="1" applyAlignment="1">
      <alignment horizontal="center"/>
    </xf>
    <xf numFmtId="0" fontId="20" fillId="14" borderId="0" xfId="0" applyFont="1" applyFill="1" applyBorder="1" applyAlignment="1">
      <alignment horizontal="center"/>
    </xf>
    <xf numFmtId="0" fontId="41" fillId="4" borderId="0" xfId="0" applyFont="1" applyFill="1" applyAlignment="1">
      <alignment horizontal="center"/>
    </xf>
    <xf numFmtId="0" fontId="43" fillId="0" borderId="0" xfId="0" applyFont="1" applyAlignment="1"/>
  </cellXfs>
  <cellStyles count="4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Normal" xfId="0" builtinId="0"/>
  </cellStyles>
  <dxfs count="0"/>
  <tableStyles count="0" defaultTableStyle="TableStyleMedium2" defaultPivotStyle="PivotStyleLight16"/>
  <colors>
    <mruColors>
      <color rgb="FF0000FF"/>
      <color rgb="FFFF9900"/>
      <color rgb="FFFF00FF"/>
      <color rgb="FFFFCC99"/>
      <color rgb="FFFFCC00"/>
      <color rgb="FFCC99FF"/>
      <color rgb="FFFF99FF"/>
      <color rgb="FFFF66FF"/>
      <color rgb="FFFFFFCC"/>
      <color rgb="FF800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419101</xdr:colOff>
      <xdr:row>2</xdr:row>
      <xdr:rowOff>47624</xdr:rowOff>
    </xdr:from>
    <xdr:to>
      <xdr:col>11</xdr:col>
      <xdr:colOff>57150</xdr:colOff>
      <xdr:row>25</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19101" y="533399"/>
          <a:ext cx="10829924" cy="437197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0" i="0" u="none" strike="noStrike">
              <a:solidFill>
                <a:schemeClr val="dk1"/>
              </a:solidFill>
              <a:effectLst/>
              <a:latin typeface="+mn-lt"/>
              <a:ea typeface="+mn-ea"/>
              <a:cs typeface="+mn-cs"/>
            </a:rPr>
            <a:t>Calculation</a:t>
          </a:r>
          <a:r>
            <a:rPr lang="en-US" sz="1400" b="0" i="0" u="none" strike="noStrike" baseline="0">
              <a:solidFill>
                <a:schemeClr val="dk1"/>
              </a:solidFill>
              <a:effectLst/>
              <a:latin typeface="+mn-lt"/>
              <a:ea typeface="+mn-ea"/>
              <a:cs typeface="+mn-cs"/>
            </a:rPr>
            <a:t> Sheets are only THREE. Two input (INCOME-SHEET-1, INCOME-SHEET-2) and one output (YOUR-ZAKAH)</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Fill up </a:t>
          </a:r>
          <a:r>
            <a:rPr lang="en-US" sz="1400" b="1" i="0" u="none" strike="noStrike">
              <a:solidFill>
                <a:schemeClr val="dk1"/>
              </a:solidFill>
              <a:effectLst/>
              <a:latin typeface="+mn-lt"/>
              <a:ea typeface="+mn-ea"/>
              <a:cs typeface="+mn-cs"/>
            </a:rPr>
            <a:t>INCOME-SHEET-1</a:t>
          </a:r>
          <a:r>
            <a:rPr lang="en-US" sz="1400" b="0" i="0" u="none" strike="noStrike">
              <a:solidFill>
                <a:schemeClr val="dk1"/>
              </a:solidFill>
              <a:effectLst/>
              <a:latin typeface="+mn-lt"/>
              <a:ea typeface="+mn-ea"/>
              <a:cs typeface="+mn-cs"/>
            </a:rPr>
            <a:t> tab (Stock Market, Retirement, etc.)</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Fill up </a:t>
          </a:r>
          <a:r>
            <a:rPr lang="en-US" sz="1400" b="1" i="0" u="none" strike="noStrike">
              <a:solidFill>
                <a:schemeClr val="dk1"/>
              </a:solidFill>
              <a:effectLst/>
              <a:latin typeface="+mn-lt"/>
              <a:ea typeface="+mn-ea"/>
              <a:cs typeface="+mn-cs"/>
            </a:rPr>
            <a:t>INCOME-SHEET-2</a:t>
          </a:r>
          <a:r>
            <a:rPr lang="en-US" sz="1400" b="0" i="0" u="none" strike="noStrike">
              <a:solidFill>
                <a:schemeClr val="dk1"/>
              </a:solidFill>
              <a:effectLst/>
              <a:latin typeface="+mn-lt"/>
              <a:ea typeface="+mn-ea"/>
              <a:cs typeface="+mn-cs"/>
            </a:rPr>
            <a:t> tab (Other income, assets, possessions)</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Find Answers in </a:t>
          </a:r>
          <a:r>
            <a:rPr lang="en-US" sz="1400" b="1" i="0" u="none" strike="noStrike">
              <a:solidFill>
                <a:schemeClr val="dk1"/>
              </a:solidFill>
              <a:effectLst/>
              <a:latin typeface="+mn-lt"/>
              <a:ea typeface="+mn-ea"/>
              <a:cs typeface="+mn-cs"/>
            </a:rPr>
            <a:t>YOUR-ZAKAH </a:t>
          </a:r>
          <a:r>
            <a:rPr lang="en-US" sz="1400" b="0" i="0" u="none" strike="noStrike">
              <a:solidFill>
                <a:schemeClr val="dk1"/>
              </a:solidFill>
              <a:effectLst/>
              <a:latin typeface="+mn-lt"/>
              <a:ea typeface="+mn-ea"/>
              <a:cs typeface="+mn-cs"/>
            </a:rPr>
            <a:t>tab</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There are 6 Calculation Options.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All options are mentioned in </a:t>
          </a:r>
          <a:r>
            <a:rPr lang="en-US" sz="1400" b="1" i="0" u="none" strike="noStrike">
              <a:solidFill>
                <a:schemeClr val="dk1"/>
              </a:solidFill>
              <a:effectLst/>
              <a:latin typeface="+mn-lt"/>
              <a:ea typeface="+mn-ea"/>
              <a:cs typeface="+mn-cs"/>
            </a:rPr>
            <a:t>OPTIONS</a:t>
          </a:r>
          <a:r>
            <a:rPr lang="en-US" sz="1400" b="0" i="0" u="none" strike="noStrike">
              <a:solidFill>
                <a:schemeClr val="dk1"/>
              </a:solidFill>
              <a:effectLst/>
              <a:latin typeface="+mn-lt"/>
              <a:ea typeface="+mn-ea"/>
              <a:cs typeface="+mn-cs"/>
            </a:rPr>
            <a:t> tab</a:t>
          </a:r>
          <a:r>
            <a:rPr lang="en-US" sz="1400"/>
            <a:t> </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OPTION-6 is user's choice</a:t>
          </a:r>
          <a:r>
            <a:rPr lang="en-US" sz="1400"/>
            <a:t> user </a:t>
          </a:r>
          <a:r>
            <a:rPr lang="en-US" sz="1400" b="0" i="0" u="none" strike="noStrike">
              <a:solidFill>
                <a:schemeClr val="dk1"/>
              </a:solidFill>
              <a:effectLst/>
              <a:latin typeface="+mn-lt"/>
              <a:ea typeface="+mn-ea"/>
              <a:cs typeface="+mn-cs"/>
            </a:rPr>
            <a:t>can Omit any of the OPTIONS to make the results desired easy to view (Tab: YOUR-ZAKAH, E1-E6)</a:t>
          </a:r>
        </a:p>
        <a:p>
          <a:endParaRPr lang="en-US" sz="1400" b="0" i="0" u="none" strike="noStrike">
            <a:solidFill>
              <a:schemeClr val="dk1"/>
            </a:solidFill>
            <a:effectLst/>
            <a:latin typeface="+mn-lt"/>
            <a:ea typeface="+mn-ea"/>
            <a:cs typeface="+mn-cs"/>
          </a:endParaRPr>
        </a:p>
        <a:p>
          <a:r>
            <a:rPr lang="en-US" sz="1400" b="0" i="0" u="none" strike="noStrike">
              <a:solidFill>
                <a:schemeClr val="dk1"/>
              </a:solidFill>
              <a:effectLst/>
              <a:latin typeface="+mn-lt"/>
              <a:ea typeface="+mn-ea"/>
              <a:cs typeface="+mn-cs"/>
            </a:rPr>
            <a:t>All Toggle Switches are in </a:t>
          </a:r>
          <a:r>
            <a:rPr lang="en-US" sz="1400" b="1" i="0" u="none" strike="noStrike">
              <a:solidFill>
                <a:srgbClr val="0000FF"/>
              </a:solidFill>
              <a:effectLst/>
              <a:latin typeface="+mn-lt"/>
              <a:ea typeface="+mn-ea"/>
              <a:cs typeface="+mn-cs"/>
            </a:rPr>
            <a:t>BLUE</a:t>
          </a:r>
          <a:r>
            <a:rPr lang="en-US" sz="1400" b="1">
              <a:solidFill>
                <a:srgbClr val="0000FF"/>
              </a:solidFill>
            </a:rPr>
            <a:t> </a:t>
          </a:r>
        </a:p>
        <a:p>
          <a:endParaRPr lang="en-US" sz="1400" b="1">
            <a:solidFill>
              <a:srgbClr val="0000FF"/>
            </a:solidFill>
          </a:endParaRPr>
        </a:p>
        <a:p>
          <a:r>
            <a:rPr lang="en-US" sz="1400" b="0">
              <a:solidFill>
                <a:sysClr val="windowText" lastClr="000000"/>
              </a:solidFill>
            </a:rPr>
            <a:t>Stock Market Halal stocks and funds</a:t>
          </a:r>
          <a:r>
            <a:rPr lang="en-US" sz="1400" b="0" baseline="0">
              <a:solidFill>
                <a:sysClr val="windowText" lastClr="000000"/>
              </a:solidFill>
            </a:rPr>
            <a:t> are explained in </a:t>
          </a:r>
          <a:r>
            <a:rPr lang="en-US" sz="1400" b="1" baseline="0">
              <a:solidFill>
                <a:sysClr val="windowText" lastClr="000000"/>
              </a:solidFill>
            </a:rPr>
            <a:t>FUNDS </a:t>
          </a:r>
          <a:r>
            <a:rPr lang="en-US" sz="1400" b="0" baseline="0">
              <a:solidFill>
                <a:sysClr val="windowText" lastClr="000000"/>
              </a:solidFill>
            </a:rPr>
            <a:t>tab.</a:t>
          </a:r>
          <a:endParaRPr lang="en-US" sz="14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571570</xdr:colOff>
      <xdr:row>10</xdr:row>
      <xdr:rowOff>0</xdr:rowOff>
    </xdr:from>
    <xdr:to>
      <xdr:col>8</xdr:col>
      <xdr:colOff>1394078</xdr:colOff>
      <xdr:row>13</xdr:row>
      <xdr:rowOff>51092</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71570" y="2321034"/>
          <a:ext cx="11011703" cy="751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OPTION-1 OPTION-4 where zakah is due on profit not on total investment amount. The Stock market being volatile and does not necessarily follow the business guidelines, rather lot of the ups and down occur due to political statements, issues, speculations, and concerns, moves made by the country leaders - which affect ultimate performance. Therefore if there are years where no profit is made or the profit margin is small and if the investor is subject to zakah for the entire investment amount (capital) every year, he will incur continuous decrease of asset. Paying zakah  on the income generated from the investment will safeguard his capital.</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647700</xdr:colOff>
      <xdr:row>0</xdr:row>
      <xdr:rowOff>85724</xdr:rowOff>
    </xdr:from>
    <xdr:to>
      <xdr:col>14</xdr:col>
      <xdr:colOff>895350</xdr:colOff>
      <xdr:row>9</xdr:row>
      <xdr:rowOff>19050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257300" y="85724"/>
          <a:ext cx="16487775" cy="15049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solidFill>
                <a:srgbClr val="FF0000"/>
              </a:solidFill>
            </a:rPr>
            <a:t>A and B</a:t>
          </a:r>
          <a:r>
            <a:rPr lang="en-US" sz="1500" b="0">
              <a:solidFill>
                <a:schemeClr val="dk1"/>
              </a:solidFill>
            </a:rPr>
            <a:t>.</a:t>
          </a:r>
          <a:r>
            <a:rPr lang="en-US" sz="1500"/>
            <a:t> Both are same, personal investment, just providing two accounts. If investment in stocks is for the purpose of value increase, then the whole amount is considered as tradable item and is zakatable.</a:t>
          </a:r>
          <a:r>
            <a:rPr lang="en-US" sz="1500" baseline="0"/>
            <a:t> </a:t>
          </a:r>
          <a:r>
            <a:rPr lang="en-US" sz="1500"/>
            <a:t>If investment in stocks is for the purpose of DIVIDEND income only, then the only the DIVIDEND income is zakatable similar</a:t>
          </a:r>
          <a:r>
            <a:rPr lang="en-US" sz="1500" baseline="0"/>
            <a:t> to rental income. Maybe between A and B, you would have the option to divide your investment objective (Dividend only or Value Increase).</a:t>
          </a:r>
        </a:p>
        <a:p>
          <a:r>
            <a:rPr lang="en-US" sz="1500" b="1" baseline="0">
              <a:solidFill>
                <a:srgbClr val="FF0000"/>
              </a:solidFill>
            </a:rPr>
            <a:t>A</a:t>
          </a:r>
          <a:r>
            <a:rPr lang="en-US" sz="1500" baseline="0"/>
            <a:t> and </a:t>
          </a:r>
          <a:r>
            <a:rPr lang="en-US" sz="1500" b="1" baseline="0">
              <a:solidFill>
                <a:srgbClr val="FF0000"/>
              </a:solidFill>
            </a:rPr>
            <a:t>B</a:t>
          </a:r>
          <a:r>
            <a:rPr lang="en-US" sz="1500" baseline="0"/>
            <a:t> should not be subjected to Penalty to withdraw. The Tax should be only on the income (value increase and dividends). A and B are supposed to be post-tax investments.</a:t>
          </a:r>
        </a:p>
        <a:p>
          <a:r>
            <a:rPr lang="en-US" sz="1500" b="1">
              <a:solidFill>
                <a:srgbClr val="FF0000"/>
              </a:solidFill>
            </a:rPr>
            <a:t>C</a:t>
          </a:r>
          <a:r>
            <a:rPr lang="en-US" sz="1500"/>
            <a:t>. IRA-401K - Usually cash cannot be retrieved without paying penalty (if age is less than 62). Also must pay tax</a:t>
          </a:r>
          <a:r>
            <a:rPr lang="en-US" sz="1500" baseline="0"/>
            <a:t> as this account is tax-deferred investment.</a:t>
          </a:r>
          <a:endParaRPr lang="en-US" sz="1500"/>
        </a:p>
        <a:p>
          <a:r>
            <a:rPr lang="en-US" sz="1500" b="1">
              <a:solidFill>
                <a:srgbClr val="FF0000"/>
              </a:solidFill>
            </a:rPr>
            <a:t>D</a:t>
          </a:r>
          <a:r>
            <a:rPr lang="en-US" sz="1500"/>
            <a:t>. Pension Plan - Usually distributed after end of service. Prior to that, employee may have no access to the money. Once retired and money distributed,</a:t>
          </a:r>
          <a:r>
            <a:rPr lang="en-US" sz="1500" baseline="0"/>
            <a:t> this can be converted to an IRA.</a:t>
          </a:r>
        </a:p>
        <a:p>
          <a:endParaRPr lang="en-US" sz="1500"/>
        </a:p>
        <a:p>
          <a:endParaRPr lang="en-US" sz="1500"/>
        </a:p>
        <a:p>
          <a:endParaRPr lang="en-US" sz="1500"/>
        </a:p>
        <a:p>
          <a:endParaRPr lang="en-US" sz="1500"/>
        </a:p>
      </xdr:txBody>
    </xdr:sp>
    <xdr:clientData/>
  </xdr:twoCellAnchor>
  <xdr:twoCellAnchor>
    <xdr:from>
      <xdr:col>10</xdr:col>
      <xdr:colOff>981075</xdr:colOff>
      <xdr:row>12</xdr:row>
      <xdr:rowOff>47625</xdr:rowOff>
    </xdr:from>
    <xdr:to>
      <xdr:col>10</xdr:col>
      <xdr:colOff>1247775</xdr:colOff>
      <xdr:row>13</xdr:row>
      <xdr:rowOff>114300</xdr:rowOff>
    </xdr:to>
    <xdr:sp macro="" textlink="">
      <xdr:nvSpPr>
        <xdr:cNvPr id="3" name="Down Arrow 2">
          <a:extLst>
            <a:ext uri="{FF2B5EF4-FFF2-40B4-BE49-F238E27FC236}">
              <a16:creationId xmlns:a16="http://schemas.microsoft.com/office/drawing/2014/main" id="{00000000-0008-0000-0200-000003000000}"/>
            </a:ext>
          </a:extLst>
        </xdr:cNvPr>
        <xdr:cNvSpPr/>
      </xdr:nvSpPr>
      <xdr:spPr>
        <a:xfrm>
          <a:off x="10782300" y="2305050"/>
          <a:ext cx="266700"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47626</xdr:colOff>
      <xdr:row>44</xdr:row>
      <xdr:rowOff>6351</xdr:rowOff>
    </xdr:from>
    <xdr:to>
      <xdr:col>5</xdr:col>
      <xdr:colOff>95251</xdr:colOff>
      <xdr:row>49</xdr:row>
      <xdr:rowOff>190500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133476" y="12607926"/>
          <a:ext cx="7924800" cy="13747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600" b="1" baseline="0">
              <a:solidFill>
                <a:schemeClr val="accent6">
                  <a:lumMod val="50000"/>
                </a:schemeClr>
              </a:solidFill>
            </a:rPr>
            <a:t>NOTES: Items 1, 4, 5  Column D: </a:t>
          </a:r>
        </a:p>
        <a:p>
          <a:pPr algn="r"/>
          <a:r>
            <a:rPr lang="en-US" sz="1600" b="1" baseline="0">
              <a:solidFill>
                <a:schemeClr val="accent6">
                  <a:lumMod val="50000"/>
                </a:schemeClr>
              </a:solidFill>
            </a:rPr>
            <a:t>1. Minimum amount during the year (Exclude rental income)</a:t>
          </a:r>
        </a:p>
        <a:p>
          <a:pPr algn="r"/>
          <a:r>
            <a:rPr lang="en-US" sz="1600" b="1" baseline="0">
              <a:solidFill>
                <a:schemeClr val="accent6">
                  <a:lumMod val="50000"/>
                </a:schemeClr>
              </a:solidFill>
            </a:rPr>
            <a:t>4. Net Rental = Gross minus Expenses (maintenance, tax, etc.)</a:t>
          </a:r>
        </a:p>
        <a:p>
          <a:pPr algn="r"/>
          <a:r>
            <a:rPr lang="en-US" sz="1600" b="1" baseline="0">
              <a:solidFill>
                <a:schemeClr val="accent6">
                  <a:lumMod val="50000"/>
                </a:schemeClr>
              </a:solidFill>
            </a:rPr>
            <a:t>5. Real Estate property current market value (exclude residence)</a:t>
          </a:r>
        </a:p>
        <a:p>
          <a:pPr algn="r"/>
          <a:endParaRPr lang="en-US" sz="1200" b="1">
            <a:solidFill>
              <a:schemeClr val="accent6">
                <a:lumMod val="50000"/>
              </a:schemeClr>
            </a:solidFill>
          </a:endParaRPr>
        </a:p>
      </xdr:txBody>
    </xdr:sp>
    <xdr:clientData/>
  </xdr:twoCellAnchor>
  <xdr:twoCellAnchor>
    <xdr:from>
      <xdr:col>0</xdr:col>
      <xdr:colOff>0</xdr:colOff>
      <xdr:row>17</xdr:row>
      <xdr:rowOff>400050</xdr:rowOff>
    </xdr:from>
    <xdr:to>
      <xdr:col>1</xdr:col>
      <xdr:colOff>0</xdr:colOff>
      <xdr:row>22</xdr:row>
      <xdr:rowOff>266703</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0" y="5286375"/>
          <a:ext cx="495300" cy="16478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400" b="1"/>
            <a:t>STOCK MARKET</a:t>
          </a:r>
        </a:p>
      </xdr:txBody>
    </xdr:sp>
    <xdr:clientData/>
  </xdr:twoCellAnchor>
  <xdr:twoCellAnchor>
    <xdr:from>
      <xdr:col>2</xdr:col>
      <xdr:colOff>4943475</xdr:colOff>
      <xdr:row>30</xdr:row>
      <xdr:rowOff>238125</xdr:rowOff>
    </xdr:from>
    <xdr:to>
      <xdr:col>2</xdr:col>
      <xdr:colOff>5286375</xdr:colOff>
      <xdr:row>34</xdr:row>
      <xdr:rowOff>0</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6029325" y="6848475"/>
          <a:ext cx="3429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300" b="1"/>
            <a:t>FARMING</a:t>
          </a:r>
        </a:p>
      </xdr:txBody>
    </xdr:sp>
    <xdr:clientData/>
  </xdr:twoCellAnchor>
  <xdr:twoCellAnchor>
    <xdr:from>
      <xdr:col>6</xdr:col>
      <xdr:colOff>533400</xdr:colOff>
      <xdr:row>17</xdr:row>
      <xdr:rowOff>552450</xdr:rowOff>
    </xdr:from>
    <xdr:to>
      <xdr:col>6</xdr:col>
      <xdr:colOff>800100</xdr:colOff>
      <xdr:row>17</xdr:row>
      <xdr:rowOff>866775</xdr:rowOff>
    </xdr:to>
    <xdr:sp macro="" textlink="">
      <xdr:nvSpPr>
        <xdr:cNvPr id="8" name="Down Arrow 7">
          <a:extLst>
            <a:ext uri="{FF2B5EF4-FFF2-40B4-BE49-F238E27FC236}">
              <a16:creationId xmlns:a16="http://schemas.microsoft.com/office/drawing/2014/main" id="{00000000-0008-0000-0300-000008000000}"/>
            </a:ext>
          </a:extLst>
        </xdr:cNvPr>
        <xdr:cNvSpPr/>
      </xdr:nvSpPr>
      <xdr:spPr>
        <a:xfrm>
          <a:off x="10563225" y="5448300"/>
          <a:ext cx="266700"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523875</xdr:colOff>
      <xdr:row>5</xdr:row>
      <xdr:rowOff>276225</xdr:rowOff>
    </xdr:from>
    <xdr:to>
      <xdr:col>6</xdr:col>
      <xdr:colOff>790575</xdr:colOff>
      <xdr:row>6</xdr:row>
      <xdr:rowOff>104775</xdr:rowOff>
    </xdr:to>
    <xdr:sp macro="" textlink="">
      <xdr:nvSpPr>
        <xdr:cNvPr id="9" name="Down Arrow 8">
          <a:extLst>
            <a:ext uri="{FF2B5EF4-FFF2-40B4-BE49-F238E27FC236}">
              <a16:creationId xmlns:a16="http://schemas.microsoft.com/office/drawing/2014/main" id="{00000000-0008-0000-0300-000009000000}"/>
            </a:ext>
          </a:extLst>
        </xdr:cNvPr>
        <xdr:cNvSpPr/>
      </xdr:nvSpPr>
      <xdr:spPr>
        <a:xfrm>
          <a:off x="10848975" y="1504950"/>
          <a:ext cx="266700"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904875</xdr:colOff>
      <xdr:row>17</xdr:row>
      <xdr:rowOff>533400</xdr:rowOff>
    </xdr:from>
    <xdr:to>
      <xdr:col>7</xdr:col>
      <xdr:colOff>1171575</xdr:colOff>
      <xdr:row>17</xdr:row>
      <xdr:rowOff>847725</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230100" y="5429250"/>
          <a:ext cx="266700"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533400</xdr:colOff>
      <xdr:row>17</xdr:row>
      <xdr:rowOff>47624</xdr:rowOff>
    </xdr:from>
    <xdr:to>
      <xdr:col>6</xdr:col>
      <xdr:colOff>800100</xdr:colOff>
      <xdr:row>17</xdr:row>
      <xdr:rowOff>361949</xdr:rowOff>
    </xdr:to>
    <xdr:sp macro="" textlink="">
      <xdr:nvSpPr>
        <xdr:cNvPr id="12" name="Down Arrow 11">
          <a:extLst>
            <a:ext uri="{FF2B5EF4-FFF2-40B4-BE49-F238E27FC236}">
              <a16:creationId xmlns:a16="http://schemas.microsoft.com/office/drawing/2014/main" id="{00000000-0008-0000-0300-00000C000000}"/>
            </a:ext>
          </a:extLst>
        </xdr:cNvPr>
        <xdr:cNvSpPr/>
      </xdr:nvSpPr>
      <xdr:spPr>
        <a:xfrm rot="10800000">
          <a:off x="10563225" y="4943474"/>
          <a:ext cx="266700"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xdr:from>
          <xdr:col>7</xdr:col>
          <xdr:colOff>95250</xdr:colOff>
          <xdr:row>5</xdr:row>
          <xdr:rowOff>209550</xdr:rowOff>
        </xdr:from>
        <xdr:to>
          <xdr:col>7</xdr:col>
          <xdr:colOff>1266825</xdr:colOff>
          <xdr:row>6</xdr:row>
          <xdr:rowOff>19050</xdr:rowOff>
        </xdr:to>
        <xdr:sp macro="" textlink="">
          <xdr:nvSpPr>
            <xdr:cNvPr id="55300" name="Button 4" hidden="1">
              <a:extLst>
                <a:ext uri="{63B3BB69-23CF-44E3-9099-C40C66FF867C}">
                  <a14:compatExt spid="_x0000_s55300"/>
                </a:ext>
                <a:ext uri="{FF2B5EF4-FFF2-40B4-BE49-F238E27FC236}">
                  <a16:creationId xmlns:a16="http://schemas.microsoft.com/office/drawing/2014/main" id="{00000000-0008-0000-0300-000004D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1" i="0" u="none" strike="noStrike" baseline="0">
                  <a:solidFill>
                    <a:srgbClr val="FF0000"/>
                  </a:solidFill>
                  <a:latin typeface="Arial"/>
                  <a:cs typeface="Arial"/>
                </a:rPr>
                <a:t>Press to Return   OPTION-6 Default Values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180975</xdr:colOff>
      <xdr:row>57</xdr:row>
      <xdr:rowOff>57146</xdr:rowOff>
    </xdr:from>
    <xdr:to>
      <xdr:col>11</xdr:col>
      <xdr:colOff>3676650</xdr:colOff>
      <xdr:row>123</xdr:row>
      <xdr:rowOff>19049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80975" y="13877921"/>
          <a:ext cx="16459200" cy="15678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i="0" u="none" strike="noStrike">
              <a:solidFill>
                <a:schemeClr val="accent6">
                  <a:lumMod val="50000"/>
                </a:schemeClr>
              </a:solidFill>
              <a:latin typeface="+mn-lt"/>
              <a:ea typeface="+mn-ea"/>
              <a:cs typeface="+mn-cs"/>
            </a:rPr>
            <a:t>NOTES</a:t>
          </a:r>
          <a:r>
            <a:rPr lang="en-US" sz="1800">
              <a:solidFill>
                <a:schemeClr val="accent6">
                  <a:lumMod val="50000"/>
                </a:schemeClr>
              </a:solidFill>
            </a:rPr>
            <a:t> </a:t>
          </a:r>
        </a:p>
        <a:p>
          <a:r>
            <a:rPr lang="en-US" sz="1800" b="1" i="0" u="none" strike="noStrike">
              <a:solidFill>
                <a:schemeClr val="accent6">
                  <a:lumMod val="50000"/>
                </a:schemeClr>
              </a:solidFill>
              <a:latin typeface="+mn-lt"/>
              <a:ea typeface="+mn-ea"/>
              <a:cs typeface="+mn-cs"/>
            </a:rPr>
            <a:t>A.  </a:t>
          </a:r>
          <a:r>
            <a:rPr lang="en-US" sz="1400" b="0" i="0" u="none" strike="noStrike">
              <a:solidFill>
                <a:schemeClr val="dk1"/>
              </a:solidFill>
              <a:latin typeface="+mn-lt"/>
              <a:ea typeface="+mn-ea"/>
              <a:cs typeface="+mn-cs"/>
            </a:rPr>
            <a:t>Minimum</a:t>
          </a:r>
          <a:r>
            <a:rPr lang="en-US" sz="1400" b="0" i="0" u="none" strike="noStrike" baseline="0">
              <a:solidFill>
                <a:schemeClr val="dk1"/>
              </a:solidFill>
              <a:latin typeface="+mn-lt"/>
              <a:ea typeface="+mn-ea"/>
              <a:cs typeface="+mn-cs"/>
            </a:rPr>
            <a:t> amount of cash carried throughout the year. I</a:t>
          </a:r>
          <a:r>
            <a:rPr lang="en-US" sz="1400" b="0" i="0" u="none" strike="noStrike">
              <a:solidFill>
                <a:schemeClr val="dk1"/>
              </a:solidFill>
              <a:latin typeface="+mn-lt"/>
              <a:ea typeface="+mn-ea"/>
              <a:cs typeface="+mn-cs"/>
            </a:rPr>
            <a:t>nterest being forbidden is not included. The only way to dispose off any interest income is to give it to charities (without expecting reward for it from Allah).  Net cash from rental is subjected to 10%</a:t>
          </a:r>
          <a:r>
            <a:rPr lang="en-US" sz="1400" b="0" i="0" u="none" strike="noStrike" baseline="0">
              <a:solidFill>
                <a:schemeClr val="dk1"/>
              </a:solidFill>
              <a:latin typeface="+mn-lt"/>
              <a:ea typeface="+mn-ea"/>
              <a:cs typeface="+mn-cs"/>
            </a:rPr>
            <a:t> - considered as investment (Qaradawi's method) - ITEM 2.</a:t>
          </a:r>
          <a:endParaRPr lang="en-US" sz="1400" b="0" i="0" u="none" strike="noStrike">
            <a:solidFill>
              <a:schemeClr val="dk1"/>
            </a:solidFill>
            <a:latin typeface="+mn-lt"/>
            <a:ea typeface="+mn-ea"/>
            <a:cs typeface="+mn-cs"/>
          </a:endParaRPr>
        </a:p>
        <a:p>
          <a:endParaRPr lang="en-US" sz="1400" b="0" i="0" u="none" strike="noStrike">
            <a:solidFill>
              <a:schemeClr val="dk1"/>
            </a:solidFill>
            <a:latin typeface="+mn-lt"/>
            <a:ea typeface="+mn-ea"/>
            <a:cs typeface="+mn-cs"/>
          </a:endParaRPr>
        </a:p>
        <a:p>
          <a:r>
            <a:rPr lang="en-US" sz="1800" b="1" i="0" u="none" strike="noStrike">
              <a:solidFill>
                <a:schemeClr val="accent6">
                  <a:lumMod val="50000"/>
                </a:schemeClr>
              </a:solidFill>
              <a:latin typeface="+mn-lt"/>
              <a:ea typeface="+mn-ea"/>
              <a:cs typeface="+mn-cs"/>
            </a:rPr>
            <a:t>B.  </a:t>
          </a:r>
          <a:r>
            <a:rPr lang="en-US" sz="1400" b="0" i="0" u="none" strike="noStrike">
              <a:solidFill>
                <a:schemeClr val="dk1"/>
              </a:solidFill>
              <a:latin typeface="+mn-lt"/>
              <a:ea typeface="+mn-ea"/>
              <a:cs typeface="+mn-cs"/>
            </a:rPr>
            <a:t>There are different opinions about this. The Opinion of one group</a:t>
          </a:r>
          <a:r>
            <a:rPr lang="en-US" sz="1400" b="0" i="0" u="none" strike="noStrike" baseline="0">
              <a:solidFill>
                <a:schemeClr val="dk1"/>
              </a:solidFill>
              <a:latin typeface="+mn-lt"/>
              <a:ea typeface="+mn-ea"/>
              <a:cs typeface="+mn-cs"/>
            </a:rPr>
            <a:t> of scholars</a:t>
          </a:r>
          <a:r>
            <a:rPr lang="en-US" sz="1400" b="0" i="0" u="none" strike="noStrike">
              <a:solidFill>
                <a:schemeClr val="dk1"/>
              </a:solidFill>
              <a:latin typeface="+mn-lt"/>
              <a:ea typeface="+mn-ea"/>
              <a:cs typeface="+mn-cs"/>
            </a:rPr>
            <a:t> based on hadith is, whether gold/jewelry is normally in use, or stored for occasional use, must all be</a:t>
          </a:r>
          <a:r>
            <a:rPr lang="en-US" sz="1400"/>
            <a:t> </a:t>
          </a:r>
          <a:r>
            <a:rPr lang="en-US" sz="1400" b="0" i="0" u="none" strike="noStrike">
              <a:solidFill>
                <a:schemeClr val="dk1"/>
              </a:solidFill>
              <a:latin typeface="+mn-lt"/>
              <a:ea typeface="+mn-ea"/>
              <a:cs typeface="+mn-cs"/>
            </a:rPr>
            <a:t>included in calculating Zakat. The value of the gold or silver content in the jewelry should be included in the category of "Personal wealth". Precious stones</a:t>
          </a:r>
          <a:r>
            <a:rPr lang="en-US" sz="1400"/>
            <a:t> </a:t>
          </a:r>
          <a:r>
            <a:rPr lang="en-US" sz="1400" b="0" i="0" u="none" strike="noStrike">
              <a:solidFill>
                <a:schemeClr val="dk1"/>
              </a:solidFill>
              <a:latin typeface="+mn-lt"/>
              <a:ea typeface="+mn-ea"/>
              <a:cs typeface="+mn-cs"/>
            </a:rPr>
            <a:t>(diamonds, ruby, pearls, etc.) are not to be included, neither the labor cost of making the jewelry. Zakat on precious stones, however, is due if</a:t>
          </a:r>
          <a:r>
            <a:rPr lang="en-US" sz="1400"/>
            <a:t> </a:t>
          </a:r>
          <a:r>
            <a:rPr lang="en-US" sz="1400" b="0" i="0" u="none" strike="noStrike">
              <a:solidFill>
                <a:schemeClr val="dk1"/>
              </a:solidFill>
              <a:latin typeface="+mn-lt"/>
              <a:ea typeface="+mn-ea"/>
              <a:cs typeface="+mn-cs"/>
            </a:rPr>
            <a:t>they are items of trade and should be included in Item 15, Business Inventory Value.</a:t>
          </a:r>
          <a:r>
            <a:rPr lang="en-US" sz="1400"/>
            <a:t> </a:t>
          </a:r>
        </a:p>
        <a:p>
          <a:endParaRPr lang="en-US" sz="1400"/>
        </a:p>
        <a:p>
          <a:r>
            <a:rPr lang="en-US" sz="1400" b="1" i="0" u="none" strike="noStrike">
              <a:solidFill>
                <a:schemeClr val="dk1"/>
              </a:solidFill>
              <a:latin typeface="+mn-lt"/>
              <a:ea typeface="+mn-ea"/>
              <a:cs typeface="+mn-cs"/>
            </a:rPr>
            <a:t>Sheikh Yusuf Al-Qaradawi</a:t>
          </a:r>
          <a:r>
            <a:rPr lang="en-US" sz="1400" b="0" i="0" u="none" strike="noStrike">
              <a:solidFill>
                <a:schemeClr val="dk1"/>
              </a:solidFill>
              <a:latin typeface="+mn-lt"/>
              <a:ea typeface="+mn-ea"/>
              <a:cs typeface="+mn-cs"/>
            </a:rPr>
            <a:t>, states:</a:t>
          </a:r>
          <a:r>
            <a:rPr lang="en-US" sz="1400"/>
            <a:t> </a:t>
          </a:r>
          <a:r>
            <a:rPr lang="en-US" sz="1400" b="0" i="0" u="none" strike="noStrike">
              <a:solidFill>
                <a:schemeClr val="dk1"/>
              </a:solidFill>
              <a:latin typeface="+mn-lt"/>
              <a:ea typeface="+mn-ea"/>
              <a:cs typeface="+mn-cs"/>
            </a:rPr>
            <a:t>"There is no authentic hadith that explicitly confirms or negates that there is an amount of Zakah due on a woman’s jewelry. That is why jurists have differed.</a:t>
          </a:r>
          <a:r>
            <a:rPr lang="en-US" sz="1400"/>
            <a:t> "</a:t>
          </a:r>
        </a:p>
        <a:p>
          <a:endParaRPr lang="en-US" sz="1400"/>
        </a:p>
        <a:p>
          <a:r>
            <a:rPr lang="en-US" sz="1800" b="1" i="0">
              <a:solidFill>
                <a:schemeClr val="accent6">
                  <a:lumMod val="50000"/>
                </a:schemeClr>
              </a:solidFill>
              <a:latin typeface="+mn-lt"/>
              <a:ea typeface="+mn-ea"/>
              <a:cs typeface="+mn-cs"/>
            </a:rPr>
            <a:t>C.  </a:t>
          </a:r>
          <a:r>
            <a:rPr lang="en-US" sz="1400" b="0" i="0">
              <a:solidFill>
                <a:schemeClr val="dk1"/>
              </a:solidFill>
              <a:latin typeface="+mn-lt"/>
              <a:ea typeface="+mn-ea"/>
              <a:cs typeface="+mn-cs"/>
            </a:rPr>
            <a:t>Though owning a share of stock of any business is like having a share in the ownership of the business; we have categorized it as "Personal wealth". Therefore,</a:t>
          </a:r>
          <a:r>
            <a:rPr lang="en-US" sz="1400">
              <a:solidFill>
                <a:schemeClr val="dk1"/>
              </a:solidFill>
              <a:latin typeface="+mn-lt"/>
              <a:ea typeface="+mn-ea"/>
              <a:cs typeface="+mn-cs"/>
            </a:rPr>
            <a:t> </a:t>
          </a:r>
          <a:r>
            <a:rPr lang="en-US" sz="1400" b="0" i="0">
              <a:solidFill>
                <a:schemeClr val="dk1"/>
              </a:solidFill>
              <a:latin typeface="+mn-lt"/>
              <a:ea typeface="+mn-ea"/>
              <a:cs typeface="+mn-cs"/>
            </a:rPr>
            <a:t>the lower of the value of stock at the beginning and the end of the year should be added in the category of "Personal wealth". This is categorized as "Personal</a:t>
          </a:r>
          <a:r>
            <a:rPr lang="en-US" sz="1400">
              <a:solidFill>
                <a:schemeClr val="dk1"/>
              </a:solidFill>
              <a:latin typeface="+mn-lt"/>
              <a:ea typeface="+mn-ea"/>
              <a:cs typeface="+mn-cs"/>
            </a:rPr>
            <a:t> </a:t>
          </a:r>
          <a:r>
            <a:rPr lang="en-US" sz="1400" b="0" i="0">
              <a:solidFill>
                <a:schemeClr val="dk1"/>
              </a:solidFill>
              <a:latin typeface="+mn-lt"/>
              <a:ea typeface="+mn-ea"/>
              <a:cs typeface="+mn-cs"/>
            </a:rPr>
            <a:t>wealth" because of two reasons.</a:t>
          </a:r>
          <a:r>
            <a:rPr lang="en-US" sz="1400">
              <a:solidFill>
                <a:schemeClr val="dk1"/>
              </a:solidFill>
              <a:latin typeface="+mn-lt"/>
              <a:ea typeface="+mn-ea"/>
              <a:cs typeface="+mn-cs"/>
            </a:rPr>
            <a:t> </a:t>
          </a:r>
          <a:endParaRPr lang="en-US" sz="1600"/>
        </a:p>
        <a:p>
          <a:endParaRPr lang="en-US" sz="1400">
            <a:solidFill>
              <a:schemeClr val="dk1"/>
            </a:solidFill>
            <a:latin typeface="+mn-lt"/>
            <a:ea typeface="+mn-ea"/>
            <a:cs typeface="+mn-cs"/>
          </a:endParaRPr>
        </a:p>
        <a:p>
          <a:r>
            <a:rPr lang="en-US" sz="1400" b="0" i="0">
              <a:solidFill>
                <a:schemeClr val="dk1"/>
              </a:solidFill>
              <a:latin typeface="+mn-lt"/>
              <a:ea typeface="+mn-ea"/>
              <a:cs typeface="+mn-cs"/>
            </a:rPr>
            <a:t>1.  For the most people who own stockS, they</a:t>
          </a:r>
          <a:r>
            <a:rPr lang="en-US" sz="1400" b="0" i="0" baseline="0">
              <a:solidFill>
                <a:schemeClr val="dk1"/>
              </a:solidFill>
              <a:latin typeface="+mn-lt"/>
              <a:ea typeface="+mn-ea"/>
              <a:cs typeface="+mn-cs"/>
            </a:rPr>
            <a:t> are</a:t>
          </a:r>
          <a:r>
            <a:rPr lang="en-US" sz="1400" b="0" i="0">
              <a:solidFill>
                <a:schemeClr val="dk1"/>
              </a:solidFill>
              <a:latin typeface="+mn-lt"/>
              <a:ea typeface="+mn-ea"/>
              <a:cs typeface="+mn-cs"/>
            </a:rPr>
            <a:t> held as a saving with expectations that it will grow in value over time. In fact they</a:t>
          </a:r>
          <a:r>
            <a:rPr lang="en-US" sz="1400" b="0" i="0" baseline="0">
              <a:solidFill>
                <a:schemeClr val="dk1"/>
              </a:solidFill>
              <a:latin typeface="+mn-lt"/>
              <a:ea typeface="+mn-ea"/>
              <a:cs typeface="+mn-cs"/>
            </a:rPr>
            <a:t> are</a:t>
          </a:r>
          <a:r>
            <a:rPr lang="en-US" sz="1400" b="0" i="0">
              <a:solidFill>
                <a:schemeClr val="dk1"/>
              </a:solidFill>
              <a:latin typeface="+mn-lt"/>
              <a:ea typeface="+mn-ea"/>
              <a:cs typeface="+mn-cs"/>
            </a:rPr>
            <a:t> readily traded for money.</a:t>
          </a:r>
          <a:r>
            <a:rPr lang="en-US" sz="1400">
              <a:solidFill>
                <a:schemeClr val="dk1"/>
              </a:solidFill>
              <a:latin typeface="+mn-lt"/>
              <a:ea typeface="+mn-ea"/>
              <a:cs typeface="+mn-cs"/>
            </a:rPr>
            <a:t> </a:t>
          </a:r>
          <a:r>
            <a:rPr lang="en-US" sz="1400" b="0" i="0">
              <a:solidFill>
                <a:schemeClr val="dk1"/>
              </a:solidFill>
              <a:latin typeface="+mn-lt"/>
              <a:ea typeface="+mn-ea"/>
              <a:cs typeface="+mn-cs"/>
            </a:rPr>
            <a:t>Considering them as a readily redeemable asset, we have treated it as another form of saving. Therefore, the fair market value to be used in calculating</a:t>
          </a:r>
          <a:r>
            <a:rPr lang="en-US" sz="1400">
              <a:solidFill>
                <a:schemeClr val="dk1"/>
              </a:solidFill>
              <a:latin typeface="+mn-lt"/>
              <a:ea typeface="+mn-ea"/>
              <a:cs typeface="+mn-cs"/>
            </a:rPr>
            <a:t> </a:t>
          </a:r>
          <a:r>
            <a:rPr lang="en-US" sz="1400" b="0" i="0">
              <a:solidFill>
                <a:schemeClr val="dk1"/>
              </a:solidFill>
              <a:latin typeface="+mn-lt"/>
              <a:ea typeface="+mn-ea"/>
              <a:cs typeface="+mn-cs"/>
            </a:rPr>
            <a:t>Zakat.</a:t>
          </a:r>
          <a:r>
            <a:rPr lang="en-US" sz="1400">
              <a:solidFill>
                <a:schemeClr val="dk1"/>
              </a:solidFill>
              <a:latin typeface="+mn-lt"/>
              <a:ea typeface="+mn-ea"/>
              <a:cs typeface="+mn-cs"/>
            </a:rPr>
            <a:t> </a:t>
          </a:r>
          <a:endParaRPr lang="en-US" sz="1600"/>
        </a:p>
        <a:p>
          <a:endParaRPr lang="en-US" sz="1400">
            <a:solidFill>
              <a:schemeClr val="dk1"/>
            </a:solidFill>
            <a:latin typeface="+mn-lt"/>
            <a:ea typeface="+mn-ea"/>
            <a:cs typeface="+mn-cs"/>
          </a:endParaRPr>
        </a:p>
        <a:p>
          <a:r>
            <a:rPr lang="en-US" sz="1400" b="0" i="0">
              <a:solidFill>
                <a:schemeClr val="dk1"/>
              </a:solidFill>
              <a:latin typeface="+mn-lt"/>
              <a:ea typeface="+mn-ea"/>
              <a:cs typeface="+mn-cs"/>
            </a:rPr>
            <a:t>2.  Calculating Zakat on stock treating it as a share in ownership is normally not very convenient. There are literally millions of shares owned by general public.</a:t>
          </a:r>
          <a:r>
            <a:rPr lang="en-US" sz="1400">
              <a:solidFill>
                <a:schemeClr val="dk1"/>
              </a:solidFill>
              <a:latin typeface="+mn-lt"/>
              <a:ea typeface="+mn-ea"/>
              <a:cs typeface="+mn-cs"/>
            </a:rPr>
            <a:t> </a:t>
          </a:r>
          <a:r>
            <a:rPr lang="en-US" sz="1400" b="0" i="0">
              <a:solidFill>
                <a:schemeClr val="dk1"/>
              </a:solidFill>
              <a:latin typeface="+mn-lt"/>
              <a:ea typeface="+mn-ea"/>
              <a:cs typeface="+mn-cs"/>
            </a:rPr>
            <a:t>A stockholder will need to know his/her share of cash on hand, profit, and inventory, in order to use those values in the calculation of Zakat. This</a:t>
          </a:r>
          <a:r>
            <a:rPr lang="en-US" sz="1400">
              <a:solidFill>
                <a:schemeClr val="dk1"/>
              </a:solidFill>
              <a:latin typeface="+mn-lt"/>
              <a:ea typeface="+mn-ea"/>
              <a:cs typeface="+mn-cs"/>
            </a:rPr>
            <a:t> </a:t>
          </a:r>
          <a:r>
            <a:rPr lang="en-US" sz="1400" b="0" i="0">
              <a:solidFill>
                <a:schemeClr val="dk1"/>
              </a:solidFill>
              <a:latin typeface="+mn-lt"/>
              <a:ea typeface="+mn-ea"/>
              <a:cs typeface="+mn-cs"/>
            </a:rPr>
            <a:t>information is ordinarily very difficult to obtain, unless it is a partnership of a few people. Therefore, we did not treat stocks as a business partnership.</a:t>
          </a:r>
          <a:r>
            <a:rPr lang="en-US" sz="1400">
              <a:solidFill>
                <a:schemeClr val="dk1"/>
              </a:solidFill>
              <a:latin typeface="+mn-lt"/>
              <a:ea typeface="+mn-ea"/>
              <a:cs typeface="+mn-cs"/>
            </a:rPr>
            <a:t> </a:t>
          </a:r>
          <a:endParaRPr lang="en-US" sz="1600"/>
        </a:p>
        <a:p>
          <a:endParaRPr lang="en-US" sz="1400">
            <a:solidFill>
              <a:schemeClr val="dk1"/>
            </a:solidFill>
            <a:latin typeface="+mn-lt"/>
            <a:ea typeface="+mn-ea"/>
            <a:cs typeface="+mn-cs"/>
          </a:endParaRPr>
        </a:p>
        <a:p>
          <a:r>
            <a:rPr lang="en-US" sz="1800" b="1" i="0">
              <a:solidFill>
                <a:schemeClr val="accent6">
                  <a:lumMod val="50000"/>
                </a:schemeClr>
              </a:solidFill>
              <a:latin typeface="+mn-lt"/>
              <a:ea typeface="+mn-ea"/>
              <a:cs typeface="+mn-cs"/>
            </a:rPr>
            <a:t>D.  </a:t>
          </a:r>
          <a:r>
            <a:rPr lang="en-US" sz="1400" b="0" i="0">
              <a:solidFill>
                <a:schemeClr val="dk1"/>
              </a:solidFill>
              <a:latin typeface="+mn-lt"/>
              <a:ea typeface="+mn-ea"/>
              <a:cs typeface="+mn-cs"/>
            </a:rPr>
            <a:t>If this amount is available to the individual at any time without any restrictions, then Zakat should be calculated for this amount through the category of</a:t>
          </a:r>
          <a:r>
            <a:rPr lang="en-US" sz="1400">
              <a:solidFill>
                <a:schemeClr val="dk1"/>
              </a:solidFill>
              <a:latin typeface="+mn-lt"/>
              <a:ea typeface="+mn-ea"/>
              <a:cs typeface="+mn-cs"/>
            </a:rPr>
            <a:t> </a:t>
          </a:r>
          <a:r>
            <a:rPr lang="en-US" sz="1400" b="0" i="0">
              <a:solidFill>
                <a:schemeClr val="dk1"/>
              </a:solidFill>
              <a:latin typeface="+mn-lt"/>
              <a:ea typeface="+mn-ea"/>
              <a:cs typeface="+mn-cs"/>
            </a:rPr>
            <a:t>"Personal wealth" because its nature will be that of savings. If the plan is restrictive and involves penalty and/or taxes, opinions differ on the payment of Zakat.</a:t>
          </a:r>
          <a:r>
            <a:rPr lang="en-US" sz="1400">
              <a:solidFill>
                <a:schemeClr val="dk1"/>
              </a:solidFill>
              <a:latin typeface="+mn-lt"/>
              <a:ea typeface="+mn-ea"/>
              <a:cs typeface="+mn-cs"/>
            </a:rPr>
            <a:t> </a:t>
          </a:r>
          <a:endParaRPr lang="en-US" sz="1600"/>
        </a:p>
        <a:p>
          <a:endParaRPr lang="en-US" sz="1400">
            <a:solidFill>
              <a:schemeClr val="dk1"/>
            </a:solidFill>
            <a:latin typeface="+mn-lt"/>
            <a:ea typeface="+mn-ea"/>
            <a:cs typeface="+mn-cs"/>
          </a:endParaRPr>
        </a:p>
        <a:p>
          <a:r>
            <a:rPr lang="en-US" sz="1400" b="0" i="0">
              <a:solidFill>
                <a:schemeClr val="dk1"/>
              </a:solidFill>
              <a:latin typeface="+mn-lt"/>
              <a:ea typeface="+mn-ea"/>
              <a:cs typeface="+mn-cs"/>
            </a:rPr>
            <a:t>1.  One opinion is that an individual should calculate the amount that is available to an individual after paying an early withdrawal penalty and taxes, and</a:t>
          </a:r>
          <a:r>
            <a:rPr lang="en-US" sz="1400">
              <a:solidFill>
                <a:schemeClr val="dk1"/>
              </a:solidFill>
              <a:latin typeface="+mn-lt"/>
              <a:ea typeface="+mn-ea"/>
              <a:cs typeface="+mn-cs"/>
            </a:rPr>
            <a:t> </a:t>
          </a:r>
          <a:r>
            <a:rPr lang="en-US" sz="1400" b="0" i="0">
              <a:solidFill>
                <a:schemeClr val="dk1"/>
              </a:solidFill>
              <a:latin typeface="+mn-lt"/>
              <a:ea typeface="+mn-ea"/>
              <a:cs typeface="+mn-cs"/>
            </a:rPr>
            <a:t>include this remaining amount in the calculation of Zakat as a part of "Personal wealth" category.</a:t>
          </a:r>
          <a:r>
            <a:rPr lang="en-US" sz="1400">
              <a:solidFill>
                <a:schemeClr val="dk1"/>
              </a:solidFill>
              <a:latin typeface="+mn-lt"/>
              <a:ea typeface="+mn-ea"/>
              <a:cs typeface="+mn-cs"/>
            </a:rPr>
            <a:t> </a:t>
          </a:r>
          <a:endParaRPr lang="en-US" sz="1600"/>
        </a:p>
        <a:p>
          <a:endParaRPr lang="en-US" sz="1400">
            <a:solidFill>
              <a:schemeClr val="dk1"/>
            </a:solidFill>
            <a:latin typeface="+mn-lt"/>
            <a:ea typeface="+mn-ea"/>
            <a:cs typeface="+mn-cs"/>
          </a:endParaRPr>
        </a:p>
        <a:p>
          <a:r>
            <a:rPr lang="en-US" sz="1400" b="0" i="0">
              <a:solidFill>
                <a:schemeClr val="dk1"/>
              </a:solidFill>
              <a:latin typeface="+mn-lt"/>
              <a:ea typeface="+mn-ea"/>
              <a:cs typeface="+mn-cs"/>
            </a:rPr>
            <a:t>2.  Another opinion is that Zakat should be only paid when the amount is actually received or is available to the individual without any penalty. In that case</a:t>
          </a:r>
          <a:r>
            <a:rPr lang="en-US" sz="1400">
              <a:solidFill>
                <a:schemeClr val="dk1"/>
              </a:solidFill>
              <a:latin typeface="+mn-lt"/>
              <a:ea typeface="+mn-ea"/>
              <a:cs typeface="+mn-cs"/>
            </a:rPr>
            <a:t> </a:t>
          </a:r>
          <a:r>
            <a:rPr lang="en-US" sz="1400" b="0" i="0">
              <a:solidFill>
                <a:schemeClr val="dk1"/>
              </a:solidFill>
              <a:latin typeface="+mn-lt"/>
              <a:ea typeface="+mn-ea"/>
              <a:cs typeface="+mn-cs"/>
            </a:rPr>
            <a:t>only taxes due on this amount should be deducted. The net amount after taxes (for the year the amount is completely available to the individual) should</a:t>
          </a:r>
          <a:r>
            <a:rPr lang="en-US" sz="1400">
              <a:solidFill>
                <a:schemeClr val="dk1"/>
              </a:solidFill>
              <a:latin typeface="+mn-lt"/>
              <a:ea typeface="+mn-ea"/>
              <a:cs typeface="+mn-cs"/>
            </a:rPr>
            <a:t> </a:t>
          </a:r>
          <a:r>
            <a:rPr lang="en-US" sz="1400" b="0" i="0">
              <a:solidFill>
                <a:schemeClr val="dk1"/>
              </a:solidFill>
              <a:latin typeface="+mn-lt"/>
              <a:ea typeface="+mn-ea"/>
              <a:cs typeface="+mn-cs"/>
            </a:rPr>
            <a:t>be included as a part of the "Personal wealth" category.</a:t>
          </a:r>
          <a:r>
            <a:rPr lang="en-US" sz="1400">
              <a:solidFill>
                <a:schemeClr val="dk1"/>
              </a:solidFill>
              <a:latin typeface="+mn-lt"/>
              <a:ea typeface="+mn-ea"/>
              <a:cs typeface="+mn-cs"/>
            </a:rPr>
            <a:t> </a:t>
          </a:r>
        </a:p>
        <a:p>
          <a:endParaRPr lang="en-US" sz="1400">
            <a:solidFill>
              <a:schemeClr val="dk1"/>
            </a:solidFill>
            <a:latin typeface="+mn-lt"/>
            <a:ea typeface="+mn-ea"/>
            <a:cs typeface="+mn-cs"/>
          </a:endParaRPr>
        </a:p>
        <a:p>
          <a:r>
            <a:rPr lang="en-US" sz="1400">
              <a:solidFill>
                <a:schemeClr val="dk1"/>
              </a:solidFill>
              <a:latin typeface="+mn-lt"/>
              <a:ea typeface="+mn-ea"/>
              <a:cs typeface="+mn-cs"/>
            </a:rPr>
            <a:t>3. Also</a:t>
          </a:r>
          <a:r>
            <a:rPr lang="en-US" sz="1400" baseline="0">
              <a:solidFill>
                <a:schemeClr val="dk1"/>
              </a:solidFill>
              <a:latin typeface="+mn-lt"/>
              <a:ea typeface="+mn-ea"/>
              <a:cs typeface="+mn-cs"/>
            </a:rPr>
            <a:t> added in this category the divident income and the income received (realized gain) from selling shares. This can be taken out of the portfolio after due penalty (for IRA) and taxes.</a:t>
          </a:r>
        </a:p>
        <a:p>
          <a:endParaRPr lang="en-US" sz="1400" baseline="0">
            <a:solidFill>
              <a:schemeClr val="dk1"/>
            </a:solidFill>
            <a:latin typeface="+mn-lt"/>
            <a:ea typeface="+mn-ea"/>
            <a:cs typeface="+mn-cs"/>
          </a:endParaRPr>
        </a:p>
        <a:p>
          <a:r>
            <a:rPr lang="en-US" sz="1400" baseline="0">
              <a:solidFill>
                <a:schemeClr val="dk1"/>
              </a:solidFill>
              <a:latin typeface="+mn-lt"/>
              <a:ea typeface="+mn-ea"/>
              <a:cs typeface="+mn-cs"/>
            </a:rPr>
            <a:t>4. The pension plan money is usually only availble after reitrement when the company transfers a lump sum amount to employees personal account, preferable in an IRA account so that it does not get taxed ultil retrieved. Pension can also be taken as 5, 10 or lifelong annuity, for which the money is given to the employer on a monthly basis. In such case there is no lump sum pension money on which the zakah can be due. Annuity may be calculated based on life expentency and interest, scholars should be consulted if the entire portion of annuity is halal.</a:t>
          </a:r>
          <a:endParaRPr lang="en-US" sz="1600"/>
        </a:p>
        <a:p>
          <a:endParaRPr lang="en-US" sz="1400"/>
        </a:p>
        <a:p>
          <a:r>
            <a:rPr lang="en-US" sz="1800" b="1" i="0" u="none" strike="noStrike">
              <a:solidFill>
                <a:schemeClr val="accent6">
                  <a:lumMod val="50000"/>
                </a:schemeClr>
              </a:solidFill>
              <a:latin typeface="+mn-lt"/>
              <a:ea typeface="+mn-ea"/>
              <a:cs typeface="+mn-cs"/>
            </a:rPr>
            <a:t>E.  </a:t>
          </a:r>
          <a:r>
            <a:rPr lang="en-US" sz="1400" b="0" i="0" u="none" strike="noStrike">
              <a:solidFill>
                <a:schemeClr val="dk1"/>
              </a:solidFill>
              <a:latin typeface="+mn-lt"/>
              <a:ea typeface="+mn-ea"/>
              <a:cs typeface="+mn-cs"/>
            </a:rPr>
            <a:t>When one is engaged in business, whatever its nature, one usually invests some money in the purchase of building, furniture, and equipment. Next there is</a:t>
          </a:r>
          <a:r>
            <a:rPr lang="en-US" sz="1400"/>
            <a:t> </a:t>
          </a:r>
          <a:r>
            <a:rPr lang="en-US" sz="1400" b="0" i="0" u="none" strike="noStrike">
              <a:solidFill>
                <a:schemeClr val="dk1"/>
              </a:solidFill>
              <a:latin typeface="+mn-lt"/>
              <a:ea typeface="+mn-ea"/>
              <a:cs typeface="+mn-cs"/>
            </a:rPr>
            <a:t>investment in inventory (raw material, or work-in-progress, or finished goods). The inventory on hand is eventually sold and converted into cash. The third</a:t>
          </a:r>
          <a:r>
            <a:rPr lang="en-US" sz="1400"/>
            <a:t> </a:t>
          </a:r>
          <a:r>
            <a:rPr lang="en-US" sz="1400" b="0" i="0" u="none" strike="noStrike">
              <a:solidFill>
                <a:schemeClr val="dk1"/>
              </a:solidFill>
              <a:latin typeface="+mn-lt"/>
              <a:ea typeface="+mn-ea"/>
              <a:cs typeface="+mn-cs"/>
            </a:rPr>
            <a:t>element is the net profits (after all expenses and taxes etc. are paid) that the business makes. This net profit flows into the cash that the business holds for</a:t>
          </a:r>
          <a:r>
            <a:rPr lang="en-US" sz="1400"/>
            <a:t> </a:t>
          </a:r>
          <a:r>
            <a:rPr lang="en-US" sz="1400" b="0" i="0" u="none" strike="noStrike">
              <a:solidFill>
                <a:schemeClr val="dk1"/>
              </a:solidFill>
              <a:latin typeface="+mn-lt"/>
              <a:ea typeface="+mn-ea"/>
              <a:cs typeface="+mn-cs"/>
            </a:rPr>
            <a:t>further distribution to the owners or for re-investment. There are only two items on which Zakat is paid.</a:t>
          </a:r>
          <a:r>
            <a:rPr lang="en-US" sz="1400"/>
            <a:t> </a:t>
          </a:r>
        </a:p>
        <a:p>
          <a:endParaRPr lang="en-US" sz="1400"/>
        </a:p>
        <a:p>
          <a:r>
            <a:rPr lang="en-US" sz="1400" b="0" i="0" u="none" strike="noStrike">
              <a:solidFill>
                <a:schemeClr val="dk1"/>
              </a:solidFill>
              <a:latin typeface="+mn-lt"/>
              <a:ea typeface="+mn-ea"/>
              <a:cs typeface="+mn-cs"/>
            </a:rPr>
            <a:t>1.  The operating cash on hand (or in the bank) and the net profit made during the year (if not already included in cash).</a:t>
          </a:r>
          <a:r>
            <a:rPr lang="en-US" sz="1400"/>
            <a:t> </a:t>
          </a:r>
        </a:p>
        <a:p>
          <a:endParaRPr lang="en-US" sz="1400"/>
        </a:p>
        <a:p>
          <a:r>
            <a:rPr lang="en-US" sz="1400" b="0" i="0" u="none" strike="noStrike">
              <a:solidFill>
                <a:schemeClr val="dk1"/>
              </a:solidFill>
              <a:latin typeface="+mn-lt"/>
              <a:ea typeface="+mn-ea"/>
              <a:cs typeface="+mn-cs"/>
            </a:rPr>
            <a:t>2.  The value of inventory at the end of the year</a:t>
          </a:r>
          <a:r>
            <a:rPr lang="en-US" sz="1400"/>
            <a:t> </a:t>
          </a:r>
          <a:r>
            <a:rPr lang="en-US" sz="1400" b="0" i="0" u="none" strike="noStrike">
              <a:solidFill>
                <a:schemeClr val="dk1"/>
              </a:solidFill>
              <a:latin typeface="+mn-lt"/>
              <a:ea typeface="+mn-ea"/>
              <a:cs typeface="+mn-cs"/>
            </a:rPr>
            <a:t>These two items are to be included by the owner in the category of "Personal wealth". If there are many owners, the cash on hand, the profit, and the value of</a:t>
          </a:r>
          <a:r>
            <a:rPr lang="en-US" sz="1400"/>
            <a:t> </a:t>
          </a:r>
          <a:r>
            <a:rPr lang="en-US" sz="1400" b="0" i="0" u="none" strike="noStrike">
              <a:solidFill>
                <a:schemeClr val="dk1"/>
              </a:solidFill>
              <a:latin typeface="+mn-lt"/>
              <a:ea typeface="+mn-ea"/>
              <a:cs typeface="+mn-cs"/>
            </a:rPr>
            <a:t>inventory shall be apportioned according to their respective shares, and each one will be responsible for the Zakat on ones individual share.</a:t>
          </a:r>
          <a:r>
            <a:rPr lang="en-US" sz="1400"/>
            <a:t> </a:t>
          </a:r>
          <a:r>
            <a:rPr lang="en-US" sz="1400" b="0" i="0" u="none" strike="noStrike">
              <a:solidFill>
                <a:schemeClr val="dk1"/>
              </a:solidFill>
              <a:latin typeface="+mn-lt"/>
              <a:ea typeface="+mn-ea"/>
              <a:cs typeface="+mn-cs"/>
            </a:rPr>
            <a:t>This business has to be operating for at least one year. If any share of the business is sold during the year, that share will not be included in the "Personal</a:t>
          </a:r>
          <a:r>
            <a:rPr lang="en-US" sz="1400"/>
            <a:t> </a:t>
          </a:r>
          <a:r>
            <a:rPr lang="en-US" sz="1400" b="0" i="0" u="none" strike="noStrike">
              <a:solidFill>
                <a:schemeClr val="dk1"/>
              </a:solidFill>
              <a:latin typeface="+mn-lt"/>
              <a:ea typeface="+mn-ea"/>
              <a:cs typeface="+mn-cs"/>
            </a:rPr>
            <a:t>wealth" of the seller or the buyer because neither of them had it for at least one year.</a:t>
          </a:r>
          <a:r>
            <a:rPr lang="en-US" sz="1400"/>
            <a:t> </a:t>
          </a:r>
          <a:r>
            <a:rPr lang="en-US" sz="1400" b="0" i="0" u="none" strike="noStrike">
              <a:solidFill>
                <a:schemeClr val="dk1"/>
              </a:solidFill>
              <a:latin typeface="+mn-lt"/>
              <a:ea typeface="+mn-ea"/>
              <a:cs typeface="+mn-cs"/>
            </a:rPr>
            <a:t>The assets used in the production of wealth (building, furniture, equipment, and even some animals or any other assets) are exempt from Zakat because Zakat is</a:t>
          </a:r>
          <a:r>
            <a:rPr lang="en-US" sz="1400"/>
            <a:t> </a:t>
          </a:r>
          <a:r>
            <a:rPr lang="en-US" sz="1400" b="0" i="0" u="none" strike="noStrike">
              <a:solidFill>
                <a:schemeClr val="dk1"/>
              </a:solidFill>
              <a:latin typeface="+mn-lt"/>
              <a:ea typeface="+mn-ea"/>
              <a:cs typeface="+mn-cs"/>
            </a:rPr>
            <a:t>collected from the output from those assets. In other words, there is no Zakat on means of production. As such exclude the value of land, plant building and</a:t>
          </a:r>
          <a:r>
            <a:rPr lang="en-US" sz="1400"/>
            <a:t> </a:t>
          </a:r>
          <a:r>
            <a:rPr lang="en-US" sz="1400" b="0" i="0" u="none" strike="noStrike">
              <a:solidFill>
                <a:schemeClr val="dk1"/>
              </a:solidFill>
              <a:latin typeface="+mn-lt"/>
              <a:ea typeface="+mn-ea"/>
              <a:cs typeface="+mn-cs"/>
            </a:rPr>
            <a:t>fixtures, machinery and tools, vehicles used in business, furniture, etc. The raw materials inventory and work-in-process inventory must be included. If your business</a:t>
          </a:r>
          <a:r>
            <a:rPr lang="en-US" sz="1400"/>
            <a:t> </a:t>
          </a:r>
          <a:r>
            <a:rPr lang="en-US" sz="1400" b="0" i="0" u="none" strike="noStrike">
              <a:solidFill>
                <a:schemeClr val="dk1"/>
              </a:solidFill>
              <a:latin typeface="+mn-lt"/>
              <a:ea typeface="+mn-ea"/>
              <a:cs typeface="+mn-cs"/>
            </a:rPr>
            <a:t>does not involve inventory, you should figure out the net value by subtracting total liabilities from total assets. Caution: If you have any doubts on this, consult a</a:t>
          </a:r>
          <a:r>
            <a:rPr lang="en-US" sz="1400"/>
            <a:t> </a:t>
          </a:r>
          <a:r>
            <a:rPr lang="en-US" sz="1400" b="0" i="0" u="none" strike="noStrike">
              <a:solidFill>
                <a:schemeClr val="dk1"/>
              </a:solidFill>
              <a:latin typeface="+mn-lt"/>
              <a:ea typeface="+mn-ea"/>
              <a:cs typeface="+mn-cs"/>
            </a:rPr>
            <a:t>scholar.</a:t>
          </a:r>
          <a:r>
            <a:rPr lang="en-US" sz="1400"/>
            <a:t> </a:t>
          </a:r>
        </a:p>
        <a:p>
          <a:endParaRPr lang="en-US" sz="1400"/>
        </a:p>
        <a:p>
          <a:r>
            <a:rPr lang="en-US" sz="1400" b="0" i="0" u="none" strike="noStrike">
              <a:solidFill>
                <a:schemeClr val="dk1"/>
              </a:solidFill>
              <a:latin typeface="+mn-lt"/>
              <a:ea typeface="+mn-ea"/>
              <a:cs typeface="+mn-cs"/>
            </a:rPr>
            <a:t>On rental property, the value is calculated as the difference between total revenue and total expenses (i.e., net income).</a:t>
          </a:r>
          <a:r>
            <a:rPr lang="en-US" sz="1400"/>
            <a:t> </a:t>
          </a:r>
        </a:p>
        <a:p>
          <a:endParaRPr lang="en-US" sz="1400"/>
        </a:p>
        <a:p>
          <a:r>
            <a:rPr lang="en-US" sz="1800" b="1" i="0" u="none" strike="noStrike">
              <a:solidFill>
                <a:schemeClr val="accent6">
                  <a:lumMod val="50000"/>
                </a:schemeClr>
              </a:solidFill>
              <a:latin typeface="+mn-lt"/>
              <a:ea typeface="+mn-ea"/>
              <a:cs typeface="+mn-cs"/>
            </a:rPr>
            <a:t>F.  </a:t>
          </a:r>
          <a:r>
            <a:rPr lang="en-US" sz="1400" b="0" i="0" u="none" strike="noStrike">
              <a:solidFill>
                <a:schemeClr val="dk1"/>
              </a:solidFill>
              <a:latin typeface="+mn-lt"/>
              <a:ea typeface="+mn-ea"/>
              <a:cs typeface="+mn-cs"/>
            </a:rPr>
            <a:t>In case of a loan, Zakat on the amount loaned to someone is primarily the obligation of the owner of the money, and the obligation is determined based upon</a:t>
          </a:r>
          <a:r>
            <a:rPr lang="en-US" sz="1400"/>
            <a:t> </a:t>
          </a:r>
          <a:r>
            <a:rPr lang="en-US" sz="1400" b="0" i="0" u="none" strike="noStrike">
              <a:solidFill>
                <a:schemeClr val="dk1"/>
              </a:solidFill>
              <a:latin typeface="+mn-lt"/>
              <a:ea typeface="+mn-ea"/>
              <a:cs typeface="+mn-cs"/>
            </a:rPr>
            <a:t>the following conditions.</a:t>
          </a:r>
          <a:r>
            <a:rPr lang="en-US" sz="1400"/>
            <a:t> </a:t>
          </a:r>
        </a:p>
        <a:p>
          <a:endParaRPr lang="en-US" sz="1400"/>
        </a:p>
        <a:p>
          <a:r>
            <a:rPr lang="en-US" sz="1400" b="0" i="0" u="none" strike="noStrike">
              <a:solidFill>
                <a:schemeClr val="dk1"/>
              </a:solidFill>
              <a:latin typeface="+mn-lt"/>
              <a:ea typeface="+mn-ea"/>
              <a:cs typeface="+mn-cs"/>
            </a:rPr>
            <a:t>1.  If the borrower is expected to return the loan in the year in question, the lender (the owner) should include the amount in his/her calculations. There are</a:t>
          </a:r>
          <a:r>
            <a:rPr lang="en-US" sz="1400"/>
            <a:t> </a:t>
          </a:r>
          <a:r>
            <a:rPr lang="en-US" sz="1400" b="0" i="0" u="none" strike="noStrike">
              <a:solidFill>
                <a:schemeClr val="dk1"/>
              </a:solidFill>
              <a:latin typeface="+mn-lt"/>
              <a:ea typeface="+mn-ea"/>
              <a:cs typeface="+mn-cs"/>
            </a:rPr>
            <a:t>two opinions within this, one is that this Zakat shall be paid every year, and the other opinion is that it should be paid for all the years the loan was</a:t>
          </a:r>
          <a:r>
            <a:rPr lang="en-US" sz="1400"/>
            <a:t> </a:t>
          </a:r>
          <a:r>
            <a:rPr lang="en-US" sz="1400" b="0" i="0" u="none" strike="noStrike">
              <a:solidFill>
                <a:schemeClr val="dk1"/>
              </a:solidFill>
              <a:latin typeface="+mn-lt"/>
              <a:ea typeface="+mn-ea"/>
              <a:cs typeface="+mn-cs"/>
            </a:rPr>
            <a:t>outstanding upon its return.</a:t>
          </a:r>
          <a:r>
            <a:rPr lang="en-US" sz="1400"/>
            <a:t> </a:t>
          </a:r>
        </a:p>
        <a:p>
          <a:endParaRPr lang="en-US" sz="1400"/>
        </a:p>
        <a:p>
          <a:r>
            <a:rPr lang="en-US" sz="1400" b="0" i="0" u="none" strike="noStrike">
              <a:solidFill>
                <a:schemeClr val="dk1"/>
              </a:solidFill>
              <a:latin typeface="+mn-lt"/>
              <a:ea typeface="+mn-ea"/>
              <a:cs typeface="+mn-cs"/>
            </a:rPr>
            <a:t>2.  In case the repayment is not expected, there are three possible opinions.</a:t>
          </a:r>
          <a:r>
            <a:rPr lang="en-US" sz="1400"/>
            <a:t> </a:t>
          </a:r>
        </a:p>
        <a:p>
          <a:r>
            <a:rPr lang="en-US" sz="1400" b="0" i="0" u="none" strike="noStrike">
              <a:solidFill>
                <a:schemeClr val="dk1"/>
              </a:solidFill>
              <a:latin typeface="+mn-lt"/>
              <a:ea typeface="+mn-ea"/>
              <a:cs typeface="+mn-cs"/>
            </a:rPr>
            <a:t>i.  Once returned, pay Zakat for all years the loan was outstanding.</a:t>
          </a:r>
          <a:r>
            <a:rPr lang="en-US" sz="1400"/>
            <a:t> </a:t>
          </a:r>
        </a:p>
        <a:p>
          <a:r>
            <a:rPr lang="en-US" sz="1400" b="0" i="0" u="none" strike="noStrike">
              <a:solidFill>
                <a:schemeClr val="dk1"/>
              </a:solidFill>
              <a:latin typeface="+mn-lt"/>
              <a:ea typeface="+mn-ea"/>
              <a:cs typeface="+mn-cs"/>
            </a:rPr>
            <a:t>ii.  Once returned, pay Zakat that year.</a:t>
          </a:r>
          <a:r>
            <a:rPr lang="en-US" sz="1400"/>
            <a:t> </a:t>
          </a:r>
        </a:p>
        <a:p>
          <a:r>
            <a:rPr lang="en-US" sz="1400" b="0" i="0" u="none" strike="noStrike">
              <a:solidFill>
                <a:schemeClr val="dk1"/>
              </a:solidFill>
              <a:latin typeface="+mn-lt"/>
              <a:ea typeface="+mn-ea"/>
              <a:cs typeface="+mn-cs"/>
            </a:rPr>
            <a:t>iii.  Once returned, pay Zakat after one year has passed since the return.</a:t>
          </a:r>
          <a:r>
            <a:rPr lang="en-US" sz="1400"/>
            <a:t> </a:t>
          </a:r>
        </a:p>
        <a:p>
          <a:endParaRPr lang="en-US" sz="1400"/>
        </a:p>
        <a:p>
          <a:r>
            <a:rPr lang="en-US" sz="1400" b="0" i="0" u="none" strike="noStrike">
              <a:solidFill>
                <a:schemeClr val="dk1"/>
              </a:solidFill>
              <a:latin typeface="+mn-lt"/>
              <a:ea typeface="+mn-ea"/>
              <a:cs typeface="+mn-cs"/>
            </a:rPr>
            <a:t>3.  We favor the opinion that Zakat should be paid by the owner, upon repayment, in the year of repayment. Therefore, if a loan whose return is not</a:t>
          </a:r>
          <a:r>
            <a:rPr lang="en-US" sz="1400"/>
            <a:t> </a:t>
          </a:r>
          <a:r>
            <a:rPr lang="en-US" sz="1400" b="0" i="0" u="none" strike="noStrike">
              <a:solidFill>
                <a:schemeClr val="dk1"/>
              </a:solidFill>
              <a:latin typeface="+mn-lt"/>
              <a:ea typeface="+mn-ea"/>
              <a:cs typeface="+mn-cs"/>
            </a:rPr>
            <a:t>expected, should be included if and when the loan is returned.</a:t>
          </a:r>
          <a:r>
            <a:rPr lang="en-US" sz="1400"/>
            <a:t> </a:t>
          </a:r>
          <a:r>
            <a:rPr lang="en-US" sz="1400" b="0" i="0" u="none" strike="noStrike">
              <a:solidFill>
                <a:schemeClr val="dk1"/>
              </a:solidFill>
              <a:latin typeface="+mn-lt"/>
              <a:ea typeface="+mn-ea"/>
              <a:cs typeface="+mn-cs"/>
            </a:rPr>
            <a:t>The impact of loan on the borrower is explained in paragraph </a:t>
          </a:r>
          <a:r>
            <a:rPr lang="en-US" sz="1400" b="1" i="0" u="none" strike="noStrike">
              <a:solidFill>
                <a:schemeClr val="accent6">
                  <a:lumMod val="50000"/>
                </a:schemeClr>
              </a:solidFill>
              <a:latin typeface="+mn-lt"/>
              <a:ea typeface="+mn-ea"/>
              <a:cs typeface="+mn-cs"/>
            </a:rPr>
            <a:t>H</a:t>
          </a:r>
          <a:r>
            <a:rPr lang="en-US" sz="1400" b="0" i="0" u="none" strike="noStrike">
              <a:solidFill>
                <a:schemeClr val="dk1"/>
              </a:solidFill>
              <a:latin typeface="+mn-lt"/>
              <a:ea typeface="+mn-ea"/>
              <a:cs typeface="+mn-cs"/>
            </a:rPr>
            <a:t> below.</a:t>
          </a:r>
          <a:r>
            <a:rPr lang="en-US" sz="1400"/>
            <a:t> </a:t>
          </a:r>
        </a:p>
        <a:p>
          <a:endParaRPr lang="en-US" sz="1400"/>
        </a:p>
        <a:p>
          <a:r>
            <a:rPr lang="en-US" sz="1800" b="1" i="0" u="none" strike="noStrike">
              <a:solidFill>
                <a:schemeClr val="accent6">
                  <a:lumMod val="50000"/>
                </a:schemeClr>
              </a:solidFill>
              <a:latin typeface="+mn-lt"/>
              <a:ea typeface="+mn-ea"/>
              <a:cs typeface="+mn-cs"/>
            </a:rPr>
            <a:t>G.  </a:t>
          </a:r>
          <a:r>
            <a:rPr lang="en-US" sz="1400" b="0" i="0" u="none" strike="noStrike">
              <a:solidFill>
                <a:schemeClr val="dk1"/>
              </a:solidFill>
              <a:latin typeface="+mn-lt"/>
              <a:ea typeface="+mn-ea"/>
              <a:cs typeface="+mn-cs"/>
            </a:rPr>
            <a:t>If real estate business buying/selling, the total property worth is part of "Personal Wealth."   </a:t>
          </a:r>
        </a:p>
        <a:p>
          <a:r>
            <a:rPr lang="en-US" sz="1400"/>
            <a:t> </a:t>
          </a:r>
        </a:p>
        <a:p>
          <a:r>
            <a:rPr lang="en-US" sz="1800" b="1" i="0" u="none" strike="noStrike">
              <a:solidFill>
                <a:schemeClr val="accent6">
                  <a:lumMod val="50000"/>
                </a:schemeClr>
              </a:solidFill>
              <a:latin typeface="+mn-lt"/>
              <a:ea typeface="+mn-ea"/>
              <a:cs typeface="+mn-cs"/>
            </a:rPr>
            <a:t>H.  </a:t>
          </a:r>
          <a:r>
            <a:rPr lang="en-US" sz="1400" b="0" i="0" u="none" strike="noStrike">
              <a:solidFill>
                <a:schemeClr val="dk1"/>
              </a:solidFill>
              <a:latin typeface="+mn-lt"/>
              <a:ea typeface="+mn-ea"/>
              <a:cs typeface="+mn-cs"/>
            </a:rPr>
            <a:t>If the individual is in debt that is not serviceable from his/her normal income and the only way that individual can repay his/her loans is by disposing of some or</a:t>
          </a:r>
          <a:r>
            <a:rPr lang="en-US" sz="1400"/>
            <a:t> </a:t>
          </a:r>
          <a:r>
            <a:rPr lang="en-US" sz="1400" b="0" i="0" u="none" strike="noStrike">
              <a:solidFill>
                <a:schemeClr val="dk1"/>
              </a:solidFill>
              <a:latin typeface="+mn-lt"/>
              <a:ea typeface="+mn-ea"/>
              <a:cs typeface="+mn-cs"/>
            </a:rPr>
            <a:t>all of his/her assets the amount owed should be subtracted from the total value of his/her "Personal wealth" and the remaining amount evaluated to see if it</a:t>
          </a:r>
          <a:r>
            <a:rPr lang="en-US" sz="1400"/>
            <a:t> </a:t>
          </a:r>
          <a:r>
            <a:rPr lang="en-US" sz="1400" b="0" i="0" u="none" strike="noStrike">
              <a:solidFill>
                <a:schemeClr val="dk1"/>
              </a:solidFill>
              <a:latin typeface="+mn-lt"/>
              <a:ea typeface="+mn-ea"/>
              <a:cs typeface="+mn-cs"/>
            </a:rPr>
            <a:t>meets the Nisab in that category. If it does, Zakat should be calculated upon the net value (total amount less loans). On the other hand, if loans are serviceable</a:t>
          </a:r>
          <a:r>
            <a:rPr lang="en-US" sz="1400"/>
            <a:t> </a:t>
          </a:r>
          <a:r>
            <a:rPr lang="en-US" sz="1400" b="0" i="0" u="none" strike="noStrike">
              <a:solidFill>
                <a:schemeClr val="dk1"/>
              </a:solidFill>
              <a:latin typeface="+mn-lt"/>
              <a:ea typeface="+mn-ea"/>
              <a:cs typeface="+mn-cs"/>
            </a:rPr>
            <a:t>from the ongoing income (such as in case of regular mortgage payments or an installment loan), the unpaid loan should not be subtracted from the assets</a:t>
          </a:r>
          <a:r>
            <a:rPr lang="en-US" sz="1400"/>
            <a:t> </a:t>
          </a:r>
          <a:r>
            <a:rPr lang="en-US" sz="1400" b="0" i="0" u="none" strike="noStrike">
              <a:solidFill>
                <a:schemeClr val="dk1"/>
              </a:solidFill>
              <a:latin typeface="+mn-lt"/>
              <a:ea typeface="+mn-ea"/>
              <a:cs typeface="+mn-cs"/>
            </a:rPr>
            <a:t>unless the individual plans to pay the loan off that year from his/her wealth.</a:t>
          </a:r>
          <a:r>
            <a:rPr lang="en-US" sz="1400"/>
            <a:t> </a:t>
          </a:r>
        </a:p>
      </xdr:txBody>
    </xdr:sp>
    <xdr:clientData/>
  </xdr:twoCellAnchor>
  <xdr:twoCellAnchor>
    <xdr:from>
      <xdr:col>11</xdr:col>
      <xdr:colOff>2400300</xdr:colOff>
      <xdr:row>18</xdr:row>
      <xdr:rowOff>95251</xdr:rowOff>
    </xdr:from>
    <xdr:to>
      <xdr:col>15</xdr:col>
      <xdr:colOff>352425</xdr:colOff>
      <xdr:row>22</xdr:row>
      <xdr:rowOff>85725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5363825" y="4581526"/>
          <a:ext cx="3714750" cy="79057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b="1" baseline="0">
              <a:solidFill>
                <a:schemeClr val="accent6">
                  <a:lumMod val="75000"/>
                </a:schemeClr>
              </a:solidFill>
            </a:rPr>
            <a:t>Amount available if investment money is cashed out;  that means tax, penalty, etc., are deducted</a:t>
          </a:r>
        </a:p>
        <a:p>
          <a:pPr algn="ctr"/>
          <a:r>
            <a:rPr lang="en-US" sz="1600" b="1" baseline="0">
              <a:solidFill>
                <a:schemeClr val="accent6">
                  <a:lumMod val="75000"/>
                </a:schemeClr>
              </a:solidFill>
            </a:rPr>
            <a:t>(INCOME-SHEET-1, Column I and J)</a:t>
          </a:r>
        </a:p>
        <a:p>
          <a:endParaRPr lang="en-US" sz="1600" b="1">
            <a:solidFill>
              <a:schemeClr val="accent6">
                <a:lumMod val="75000"/>
              </a:schemeClr>
            </a:solidFill>
          </a:endParaRPr>
        </a:p>
      </xdr:txBody>
    </xdr:sp>
    <xdr:clientData/>
  </xdr:twoCellAnchor>
  <xdr:twoCellAnchor>
    <xdr:from>
      <xdr:col>0</xdr:col>
      <xdr:colOff>190500</xdr:colOff>
      <xdr:row>18</xdr:row>
      <xdr:rowOff>0</xdr:rowOff>
    </xdr:from>
    <xdr:to>
      <xdr:col>0</xdr:col>
      <xdr:colOff>533400</xdr:colOff>
      <xdr:row>22</xdr:row>
      <xdr:rowOff>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90500" y="3438525"/>
          <a:ext cx="3429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400" b="1"/>
            <a:t>SHARE MARKET</a:t>
          </a:r>
        </a:p>
      </xdr:txBody>
    </xdr:sp>
    <xdr:clientData/>
  </xdr:twoCellAnchor>
  <xdr:twoCellAnchor>
    <xdr:from>
      <xdr:col>0</xdr:col>
      <xdr:colOff>180975</xdr:colOff>
      <xdr:row>33</xdr:row>
      <xdr:rowOff>9525</xdr:rowOff>
    </xdr:from>
    <xdr:to>
      <xdr:col>0</xdr:col>
      <xdr:colOff>523875</xdr:colOff>
      <xdr:row>37</xdr:row>
      <xdr:rowOff>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180975" y="7324725"/>
          <a:ext cx="342900"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400" b="1"/>
            <a:t>SHARE MARKET</a:t>
          </a:r>
        </a:p>
      </xdr:txBody>
    </xdr:sp>
    <xdr:clientData/>
  </xdr:twoCellAnchor>
  <xdr:twoCellAnchor>
    <xdr:from>
      <xdr:col>3</xdr:col>
      <xdr:colOff>4286250</xdr:colOff>
      <xdr:row>44</xdr:row>
      <xdr:rowOff>228600</xdr:rowOff>
    </xdr:from>
    <xdr:to>
      <xdr:col>3</xdr:col>
      <xdr:colOff>4629150</xdr:colOff>
      <xdr:row>48</xdr:row>
      <xdr:rowOff>9525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6143625" y="9896475"/>
          <a:ext cx="342900"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lstStyle/>
        <a:p>
          <a:pPr algn="ctr"/>
          <a:r>
            <a:rPr lang="en-US" sz="1350" b="1"/>
            <a:t>FARMING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0000FF"/>
  </sheetPr>
  <dimension ref="A2:I29"/>
  <sheetViews>
    <sheetView zoomScale="89" zoomScaleNormal="89" workbookViewId="0">
      <selection activeCell="H2" sqref="H2"/>
    </sheetView>
  </sheetViews>
  <sheetFormatPr defaultColWidth="8.85546875" defaultRowHeight="15" x14ac:dyDescent="0.25"/>
  <cols>
    <col min="1" max="1" width="12" customWidth="1"/>
    <col min="2" max="2" width="12.42578125" customWidth="1"/>
    <col min="3" max="3" width="22.28515625" customWidth="1"/>
    <col min="4" max="4" width="19.42578125" customWidth="1"/>
    <col min="5" max="5" width="18.7109375" customWidth="1"/>
    <col min="6" max="6" width="17.7109375" customWidth="1"/>
    <col min="7" max="7" width="16.42578125" customWidth="1"/>
    <col min="8" max="8" width="14.7109375" customWidth="1"/>
    <col min="9" max="9" width="16.42578125" customWidth="1"/>
  </cols>
  <sheetData>
    <row r="2" spans="3:4" ht="23.25" x14ac:dyDescent="0.35">
      <c r="C2" s="222" t="s">
        <v>166</v>
      </c>
      <c r="D2" s="226" t="s">
        <v>43</v>
      </c>
    </row>
    <row r="20" spans="1:9" x14ac:dyDescent="0.25">
      <c r="A20" s="88"/>
    </row>
    <row r="24" spans="1:9" x14ac:dyDescent="0.25">
      <c r="A24" s="88"/>
    </row>
    <row r="27" spans="1:9" ht="21" x14ac:dyDescent="0.35">
      <c r="C27" s="188" t="s">
        <v>165</v>
      </c>
      <c r="D27" s="189"/>
      <c r="E27" s="189"/>
      <c r="F27" s="189"/>
      <c r="G27" s="189"/>
      <c r="H27" s="189"/>
      <c r="I27" s="189"/>
    </row>
    <row r="29" spans="1:9" x14ac:dyDescent="0.25">
      <c r="E29" s="159"/>
    </row>
  </sheetData>
  <sheetProtection algorithmName="SHA-512" hashValue="5w+RxNo2siTAd24sdZBASZeROYcQknMp7g7XvtlLH84daKQ8pB87eOUG8/pMxiNCCNn7uh4PzTIdaVHXIvChrA==" saltValue="1atGTJKNeXQBtAZD0ASyFA==" spinCount="100000" sheet="1" objects="1" scenarios="1"/>
  <dataValidations count="1">
    <dataValidation type="list" allowBlank="1" showInputMessage="1" showErrorMessage="1" sqref="D2" xr:uid="{00000000-0002-0000-0100-000000000000}">
      <formula1>"$, UKP, EURO, BDT, SAR, PKR"</formula1>
    </dataValidation>
  </dataValidations>
  <pageMargins left="0.7" right="0.7" top="0.75" bottom="0.75" header="0.3" footer="0.3"/>
  <pageSetup orientation="portrait" r:id="rId1"/>
  <headerFooter differentOddEven="1">
    <oddFooter>&amp;CSaudi Aramco: Public&amp;L&amp;1#&amp;"Arial"&amp;10&amp;K000000Saudi Aramco: Public</oddFooter>
    <evenFooter>&amp;CSaudi Aramco: Public&amp;L&amp;1#&amp;"Arial"&amp;10&amp;K000000Saudi Aramco: Public</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rgb="FF0000FF"/>
  </sheetPr>
  <dimension ref="A1:O29"/>
  <sheetViews>
    <sheetView tabSelected="1" zoomScale="87" zoomScaleNormal="87" workbookViewId="0">
      <selection activeCell="B11" sqref="B11"/>
    </sheetView>
  </sheetViews>
  <sheetFormatPr defaultColWidth="8.85546875" defaultRowHeight="15" x14ac:dyDescent="0.25"/>
  <cols>
    <col min="1" max="1" width="12" customWidth="1"/>
    <col min="2" max="2" width="24.5703125" bestFit="1" customWidth="1"/>
    <col min="3" max="3" width="22.28515625" customWidth="1"/>
    <col min="4" max="4" width="19.42578125" customWidth="1"/>
    <col min="5" max="5" width="18.7109375" customWidth="1"/>
    <col min="6" max="6" width="17.7109375" customWidth="1"/>
    <col min="7" max="7" width="16.42578125" customWidth="1"/>
    <col min="8" max="8" width="14.7109375" customWidth="1"/>
    <col min="9" max="9" width="22" customWidth="1"/>
  </cols>
  <sheetData>
    <row r="1" spans="1:15" ht="21" x14ac:dyDescent="0.35">
      <c r="A1" s="154"/>
      <c r="C1" s="238" t="s">
        <v>174</v>
      </c>
    </row>
    <row r="3" spans="1:15" ht="18.75" x14ac:dyDescent="0.3">
      <c r="B3" s="3" t="s">
        <v>171</v>
      </c>
    </row>
    <row r="4" spans="1:15" ht="18.75" x14ac:dyDescent="0.3">
      <c r="B4" s="55" t="s">
        <v>53</v>
      </c>
      <c r="C4" s="156" t="s">
        <v>139</v>
      </c>
      <c r="E4" s="1"/>
    </row>
    <row r="5" spans="1:15" ht="18.75" x14ac:dyDescent="0.3">
      <c r="B5" s="55" t="s">
        <v>54</v>
      </c>
      <c r="C5" s="9" t="s">
        <v>67</v>
      </c>
      <c r="E5" s="1"/>
    </row>
    <row r="6" spans="1:15" ht="18.75" x14ac:dyDescent="0.3">
      <c r="B6" s="55" t="s">
        <v>55</v>
      </c>
      <c r="C6" s="9" t="s">
        <v>68</v>
      </c>
      <c r="E6" s="1"/>
    </row>
    <row r="7" spans="1:15" ht="18.75" x14ac:dyDescent="0.3">
      <c r="B7" s="55" t="s">
        <v>56</v>
      </c>
      <c r="C7" s="9" t="s">
        <v>58</v>
      </c>
      <c r="E7" s="1"/>
    </row>
    <row r="8" spans="1:15" ht="18.75" x14ac:dyDescent="0.3">
      <c r="B8" s="55" t="s">
        <v>57</v>
      </c>
      <c r="C8" s="9" t="s">
        <v>72</v>
      </c>
      <c r="E8" s="1"/>
    </row>
    <row r="9" spans="1:15" ht="18.75" x14ac:dyDescent="0.3">
      <c r="B9" s="84" t="s">
        <v>71</v>
      </c>
      <c r="C9" s="22" t="s">
        <v>142</v>
      </c>
      <c r="E9" s="1"/>
    </row>
    <row r="10" spans="1:15" ht="18.75" x14ac:dyDescent="0.3">
      <c r="C10" s="90" t="s">
        <v>190</v>
      </c>
    </row>
    <row r="11" spans="1:15" ht="18.75" x14ac:dyDescent="0.3">
      <c r="C11" s="90"/>
    </row>
    <row r="12" spans="1:15" ht="18.75" x14ac:dyDescent="0.3">
      <c r="C12" s="90"/>
    </row>
    <row r="13" spans="1:15" ht="18.75" x14ac:dyDescent="0.3">
      <c r="C13" s="90"/>
    </row>
    <row r="14" spans="1:15" ht="15.75" thickBot="1" x14ac:dyDescent="0.3"/>
    <row r="15" spans="1:15" ht="18.75" x14ac:dyDescent="0.3">
      <c r="B15" s="207"/>
      <c r="C15" s="208"/>
      <c r="D15" s="87" t="s">
        <v>53</v>
      </c>
      <c r="E15" s="87" t="s">
        <v>54</v>
      </c>
      <c r="F15" s="87" t="s">
        <v>55</v>
      </c>
      <c r="G15" s="87" t="s">
        <v>56</v>
      </c>
      <c r="H15" s="87" t="s">
        <v>57</v>
      </c>
      <c r="I15" s="87" t="s">
        <v>71</v>
      </c>
      <c r="J15" s="3"/>
      <c r="K15" s="3"/>
      <c r="L15" s="3"/>
      <c r="M15" s="3"/>
      <c r="N15" s="3"/>
      <c r="O15" s="3"/>
    </row>
    <row r="16" spans="1:15" ht="18.75" x14ac:dyDescent="0.3">
      <c r="B16" s="209"/>
      <c r="C16" s="210"/>
      <c r="D16" s="89" t="s">
        <v>52</v>
      </c>
      <c r="E16" s="89" t="s">
        <v>52</v>
      </c>
      <c r="F16" s="89" t="s">
        <v>52</v>
      </c>
      <c r="G16" s="89" t="s">
        <v>52</v>
      </c>
      <c r="H16" s="89" t="s">
        <v>52</v>
      </c>
      <c r="I16" s="89" t="s">
        <v>52</v>
      </c>
      <c r="J16" s="3"/>
      <c r="K16" s="3"/>
      <c r="L16" s="3"/>
      <c r="M16" s="3"/>
      <c r="N16" s="3"/>
      <c r="O16" s="3"/>
    </row>
    <row r="17" spans="2:15" ht="18.75" x14ac:dyDescent="0.3">
      <c r="B17" s="262" t="s">
        <v>81</v>
      </c>
      <c r="C17" s="263"/>
      <c r="D17" s="263"/>
      <c r="E17" s="263"/>
      <c r="F17" s="263"/>
      <c r="G17" s="263"/>
      <c r="H17" s="263"/>
      <c r="I17" s="264"/>
      <c r="J17" s="3"/>
      <c r="K17" s="3"/>
      <c r="L17" s="3"/>
      <c r="M17" s="3"/>
      <c r="N17" s="3"/>
      <c r="O17" s="3"/>
    </row>
    <row r="18" spans="2:15" ht="18.75" x14ac:dyDescent="0.3">
      <c r="B18" s="265" t="s">
        <v>77</v>
      </c>
      <c r="C18" s="266"/>
      <c r="D18" s="210">
        <v>10</v>
      </c>
      <c r="E18" s="210">
        <v>2.5</v>
      </c>
      <c r="F18" s="210"/>
      <c r="G18" s="210">
        <v>2.5</v>
      </c>
      <c r="H18" s="210">
        <v>2.5</v>
      </c>
      <c r="I18" s="211" t="s">
        <v>172</v>
      </c>
      <c r="J18" s="3"/>
      <c r="K18" s="3"/>
      <c r="L18" s="3"/>
      <c r="M18" s="3"/>
      <c r="N18" s="3"/>
      <c r="O18" s="3"/>
    </row>
    <row r="19" spans="2:15" ht="18.75" x14ac:dyDescent="0.3">
      <c r="B19" s="265" t="s">
        <v>156</v>
      </c>
      <c r="C19" s="266"/>
      <c r="D19" s="210">
        <v>0</v>
      </c>
      <c r="E19" s="210">
        <v>0</v>
      </c>
      <c r="F19" s="210">
        <v>0</v>
      </c>
      <c r="G19" s="210">
        <v>0</v>
      </c>
      <c r="H19" s="210">
        <v>2.5</v>
      </c>
      <c r="I19" s="211" t="s">
        <v>173</v>
      </c>
      <c r="J19" s="3"/>
      <c r="K19" s="3"/>
      <c r="L19" s="3"/>
      <c r="M19" s="3"/>
      <c r="N19" s="3"/>
      <c r="O19" s="3"/>
    </row>
    <row r="20" spans="2:15" ht="18.75" x14ac:dyDescent="0.3">
      <c r="B20" s="265" t="s">
        <v>157</v>
      </c>
      <c r="C20" s="266"/>
      <c r="D20" s="210">
        <v>2.5</v>
      </c>
      <c r="E20" s="210">
        <v>2.5</v>
      </c>
      <c r="F20" s="210">
        <v>2.5</v>
      </c>
      <c r="G20" s="210">
        <v>2.5</v>
      </c>
      <c r="H20" s="210">
        <v>2.5</v>
      </c>
      <c r="I20" s="211" t="s">
        <v>154</v>
      </c>
      <c r="J20" s="3"/>
      <c r="K20" s="3"/>
      <c r="L20" s="3"/>
      <c r="M20" s="3"/>
      <c r="N20" s="3"/>
      <c r="O20" s="3"/>
    </row>
    <row r="21" spans="2:15" ht="18.75" x14ac:dyDescent="0.3">
      <c r="B21" s="262" t="s">
        <v>79</v>
      </c>
      <c r="C21" s="263"/>
      <c r="D21" s="263"/>
      <c r="E21" s="263"/>
      <c r="F21" s="263"/>
      <c r="G21" s="263"/>
      <c r="H21" s="263"/>
      <c r="I21" s="264"/>
      <c r="J21" s="3"/>
      <c r="K21" s="3"/>
      <c r="L21" s="3"/>
      <c r="M21" s="3"/>
      <c r="N21" s="3"/>
      <c r="O21" s="3"/>
    </row>
    <row r="22" spans="2:15" ht="18.75" x14ac:dyDescent="0.3">
      <c r="B22" s="267" t="s">
        <v>153</v>
      </c>
      <c r="C22" s="210" t="s">
        <v>74</v>
      </c>
      <c r="D22" s="210">
        <v>0</v>
      </c>
      <c r="E22" s="210">
        <v>2.5</v>
      </c>
      <c r="F22" s="210">
        <v>0</v>
      </c>
      <c r="G22" s="210">
        <v>0</v>
      </c>
      <c r="H22" s="210">
        <v>2.5</v>
      </c>
      <c r="I22" s="211" t="s">
        <v>154</v>
      </c>
      <c r="J22" s="3"/>
      <c r="K22" s="3"/>
      <c r="L22" s="3"/>
      <c r="M22" s="3"/>
      <c r="N22" s="3"/>
      <c r="O22" s="3"/>
    </row>
    <row r="23" spans="2:15" ht="18.75" x14ac:dyDescent="0.3">
      <c r="B23" s="267"/>
      <c r="C23" s="210" t="s">
        <v>75</v>
      </c>
      <c r="D23" s="210">
        <v>10</v>
      </c>
      <c r="E23" s="210">
        <v>2.5</v>
      </c>
      <c r="F23" s="210">
        <v>2.5</v>
      </c>
      <c r="G23" s="210">
        <v>10</v>
      </c>
      <c r="H23" s="210">
        <v>2.5</v>
      </c>
      <c r="I23" s="211" t="s">
        <v>154</v>
      </c>
      <c r="J23" s="3"/>
      <c r="K23" s="3"/>
      <c r="L23" s="3"/>
      <c r="M23" s="3"/>
      <c r="N23" s="3"/>
      <c r="O23" s="3"/>
    </row>
    <row r="24" spans="2:15" ht="75" x14ac:dyDescent="0.3">
      <c r="B24" s="267"/>
      <c r="C24" s="212" t="s">
        <v>191</v>
      </c>
      <c r="D24" s="213">
        <v>10</v>
      </c>
      <c r="E24" s="213">
        <v>2.5</v>
      </c>
      <c r="F24" s="213">
        <v>2.5</v>
      </c>
      <c r="G24" s="213">
        <v>10</v>
      </c>
      <c r="H24" s="213">
        <v>2.5</v>
      </c>
      <c r="I24" s="211" t="s">
        <v>154</v>
      </c>
      <c r="J24" s="214" t="s">
        <v>78</v>
      </c>
      <c r="K24" s="3"/>
      <c r="L24" s="3"/>
      <c r="M24" s="3"/>
      <c r="N24" s="3"/>
      <c r="O24" s="3"/>
    </row>
    <row r="25" spans="2:15" ht="18.75" x14ac:dyDescent="0.3">
      <c r="B25" s="262" t="s">
        <v>80</v>
      </c>
      <c r="C25" s="263"/>
      <c r="D25" s="263"/>
      <c r="E25" s="263"/>
      <c r="F25" s="263"/>
      <c r="G25" s="263"/>
      <c r="H25" s="263"/>
      <c r="I25" s="264"/>
      <c r="J25" s="3"/>
      <c r="K25" s="3"/>
      <c r="L25" s="3"/>
      <c r="M25" s="3"/>
      <c r="N25" s="3"/>
      <c r="O25" s="3"/>
    </row>
    <row r="26" spans="2:15" ht="18.75" x14ac:dyDescent="0.3">
      <c r="B26" s="260" t="s">
        <v>60</v>
      </c>
      <c r="C26" s="210" t="s">
        <v>74</v>
      </c>
      <c r="D26" s="210">
        <v>0</v>
      </c>
      <c r="E26" s="210">
        <v>2.5</v>
      </c>
      <c r="F26" s="210">
        <v>0</v>
      </c>
      <c r="G26" s="210">
        <v>0</v>
      </c>
      <c r="H26" s="210">
        <v>2.5</v>
      </c>
      <c r="I26" s="211" t="s">
        <v>155</v>
      </c>
      <c r="J26" s="3"/>
      <c r="K26" s="3"/>
      <c r="L26" s="3"/>
      <c r="M26" s="3"/>
      <c r="N26" s="3"/>
      <c r="O26" s="3"/>
    </row>
    <row r="27" spans="2:15" ht="18.75" x14ac:dyDescent="0.3">
      <c r="B27" s="260"/>
      <c r="C27" s="210" t="s">
        <v>75</v>
      </c>
      <c r="D27" s="210">
        <v>10</v>
      </c>
      <c r="E27" s="210">
        <v>2.5</v>
      </c>
      <c r="F27" s="210">
        <v>0</v>
      </c>
      <c r="G27" s="210">
        <v>10</v>
      </c>
      <c r="H27" s="210">
        <v>2.5</v>
      </c>
      <c r="I27" s="211" t="s">
        <v>155</v>
      </c>
      <c r="J27" s="3"/>
      <c r="K27" s="3"/>
      <c r="L27" s="3"/>
      <c r="M27" s="3"/>
      <c r="N27" s="3"/>
      <c r="O27" s="3"/>
    </row>
    <row r="28" spans="2:15" ht="75.75" thickBot="1" x14ac:dyDescent="0.35">
      <c r="B28" s="261"/>
      <c r="C28" s="212" t="s">
        <v>191</v>
      </c>
      <c r="D28" s="215">
        <v>10</v>
      </c>
      <c r="E28" s="215">
        <v>2.5</v>
      </c>
      <c r="F28" s="215">
        <v>0</v>
      </c>
      <c r="G28" s="215">
        <v>10</v>
      </c>
      <c r="H28" s="215">
        <v>2.5</v>
      </c>
      <c r="I28" s="211" t="s">
        <v>155</v>
      </c>
      <c r="J28" s="214" t="s">
        <v>78</v>
      </c>
      <c r="K28" s="3"/>
      <c r="L28" s="3"/>
      <c r="M28" s="3"/>
      <c r="N28" s="3"/>
      <c r="O28" s="3"/>
    </row>
    <row r="29" spans="2:15" ht="18.75" x14ac:dyDescent="0.3">
      <c r="B29" s="3"/>
      <c r="C29" s="3"/>
      <c r="D29" s="3"/>
      <c r="E29" s="3"/>
      <c r="F29" s="3"/>
      <c r="G29" s="3"/>
      <c r="H29" s="3"/>
      <c r="I29" s="3" t="s">
        <v>82</v>
      </c>
      <c r="J29" s="3"/>
      <c r="K29" s="3"/>
      <c r="L29" s="3"/>
      <c r="M29" s="3"/>
      <c r="N29" s="3"/>
      <c r="O29" s="3"/>
    </row>
  </sheetData>
  <sheetProtection algorithmName="SHA-512" hashValue="lvUDqxU7D+VKU6fnZi75Kj05YnqmC6YjZfG0Qe5eyqCbr9Y091+irIyZLfQzDwe/6Fbyh+RPdseS4m7lsg7uBQ==" saltValue="mAru3lNlnhbhijCY7kpJEQ==" spinCount="100000" sheet="1" objects="1" scenarios="1"/>
  <mergeCells count="8">
    <mergeCell ref="B26:B28"/>
    <mergeCell ref="B17:I17"/>
    <mergeCell ref="B20:C20"/>
    <mergeCell ref="B18:C18"/>
    <mergeCell ref="B19:C19"/>
    <mergeCell ref="B25:I25"/>
    <mergeCell ref="B21:I21"/>
    <mergeCell ref="B22:B24"/>
  </mergeCells>
  <dataValidations count="7">
    <dataValidation type="list" allowBlank="1" showInputMessage="1" showErrorMessage="1" sqref="A1" xr:uid="{00000000-0002-0000-0200-000000000000}">
      <formula1>"SELECT, RETURN TO Notes"</formula1>
    </dataValidation>
    <dataValidation type="list" allowBlank="1" showInputMessage="1" showErrorMessage="1" sqref="D15" xr:uid="{00000000-0002-0000-0200-000001000000}">
      <formula1>"OPTION-1, OMIT"</formula1>
    </dataValidation>
    <dataValidation type="list" allowBlank="1" showInputMessage="1" showErrorMessage="1" sqref="E15" xr:uid="{00000000-0002-0000-0200-000002000000}">
      <formula1>"OPTION-2, OMIT"</formula1>
    </dataValidation>
    <dataValidation type="list" allowBlank="1" showInputMessage="1" showErrorMessage="1" sqref="F15" xr:uid="{00000000-0002-0000-0200-000003000000}">
      <formula1>"OPTION-3, OMIT"</formula1>
    </dataValidation>
    <dataValidation type="list" allowBlank="1" showInputMessage="1" showErrorMessage="1" sqref="G15" xr:uid="{00000000-0002-0000-0200-000004000000}">
      <formula1>"OPTION-4, OMIT"</formula1>
    </dataValidation>
    <dataValidation type="list" allowBlank="1" showInputMessage="1" showErrorMessage="1" sqref="H15" xr:uid="{00000000-0002-0000-0200-000005000000}">
      <formula1>"OPTION-5, OMIT"</formula1>
    </dataValidation>
    <dataValidation type="list" allowBlank="1" showInputMessage="1" showErrorMessage="1" sqref="I15" xr:uid="{00000000-0002-0000-0200-000006000000}">
      <formula1>"OPTION-6, OMIT"</formula1>
    </dataValidation>
  </dataValidations>
  <pageMargins left="0.7" right="0.7" top="0.75" bottom="0.75" header="0.3" footer="0.3"/>
  <pageSetup orientation="portrait" r:id="rId1"/>
  <headerFooter differentOddEven="1">
    <oddFooter>&amp;CSaudi Aramco: Public&amp;L&amp;1#&amp;"Arial"&amp;10&amp;K000000Saudi Aramco: Public</oddFooter>
    <evenFooter>&amp;CSaudi Aramco: Public&amp;L&amp;1#&amp;"Arial"&amp;10&amp;K000000Saudi Aramco: Public</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sheetPr>
  <dimension ref="A1:U30"/>
  <sheetViews>
    <sheetView zoomScale="66" zoomScaleNormal="66" workbookViewId="0">
      <selection activeCell="C16" sqref="C16"/>
    </sheetView>
  </sheetViews>
  <sheetFormatPr defaultRowHeight="15" x14ac:dyDescent="0.25"/>
  <cols>
    <col min="1" max="1" width="9.140625" style="105"/>
    <col min="2" max="2" width="30.5703125" customWidth="1"/>
    <col min="3" max="3" width="12.5703125" customWidth="1"/>
    <col min="4" max="4" width="14.85546875" customWidth="1"/>
    <col min="5" max="5" width="17.42578125" customWidth="1"/>
    <col min="6" max="6" width="12.28515625" customWidth="1"/>
    <col min="7" max="8" width="13.5703125" customWidth="1"/>
    <col min="9" max="9" width="11.28515625" bestFit="1" customWidth="1"/>
    <col min="10" max="10" width="11.42578125" bestFit="1" customWidth="1"/>
    <col min="11" max="11" width="32.85546875" bestFit="1" customWidth="1"/>
    <col min="12" max="12" width="21.42578125" customWidth="1"/>
    <col min="13" max="13" width="28.5703125" customWidth="1"/>
    <col min="14" max="14" width="21.42578125" customWidth="1"/>
    <col min="15" max="15" width="17.42578125" customWidth="1"/>
    <col min="17" max="17" width="14.28515625" customWidth="1"/>
    <col min="18" max="18" width="12.7109375" customWidth="1"/>
    <col min="19" max="19" width="12.42578125" customWidth="1"/>
  </cols>
  <sheetData>
    <row r="1" spans="1:21" ht="18.75" x14ac:dyDescent="0.3">
      <c r="A1" s="154"/>
    </row>
    <row r="5" spans="1:21" x14ac:dyDescent="0.25">
      <c r="U5">
        <f>29.53*12</f>
        <v>354.36</v>
      </c>
    </row>
    <row r="10" spans="1:21" ht="24" thickBot="1" x14ac:dyDescent="0.4">
      <c r="B10" s="268" t="s">
        <v>175</v>
      </c>
      <c r="C10" s="269"/>
      <c r="D10" s="269"/>
      <c r="G10" s="140" t="s">
        <v>102</v>
      </c>
      <c r="H10" s="108"/>
      <c r="K10" t="s">
        <v>181</v>
      </c>
    </row>
    <row r="11" spans="1:21" ht="21.75" thickBot="1" x14ac:dyDescent="0.4">
      <c r="D11" s="274" t="s">
        <v>144</v>
      </c>
      <c r="E11" s="275"/>
      <c r="F11" s="275"/>
      <c r="G11" s="276"/>
      <c r="Q11" t="s">
        <v>127</v>
      </c>
    </row>
    <row r="12" spans="1:21" ht="18.75" customHeight="1" thickBot="1" x14ac:dyDescent="0.35">
      <c r="A12" s="106"/>
      <c r="B12" s="254" t="s">
        <v>180</v>
      </c>
      <c r="C12" s="248"/>
      <c r="D12" s="279" t="s">
        <v>94</v>
      </c>
      <c r="E12" s="280"/>
      <c r="F12" s="157" t="s">
        <v>124</v>
      </c>
      <c r="G12" s="171" t="s">
        <v>95</v>
      </c>
      <c r="H12" s="168"/>
      <c r="I12" s="112"/>
      <c r="J12" s="120"/>
      <c r="K12" s="171" t="s">
        <v>146</v>
      </c>
      <c r="L12" s="281" t="s">
        <v>110</v>
      </c>
      <c r="M12" s="282"/>
      <c r="N12" s="186" t="s">
        <v>113</v>
      </c>
      <c r="O12" s="195">
        <v>0.5</v>
      </c>
      <c r="P12" s="158"/>
      <c r="Q12" s="196">
        <v>0.5</v>
      </c>
    </row>
    <row r="13" spans="1:21" ht="19.5" customHeight="1" thickBot="1" x14ac:dyDescent="0.35">
      <c r="A13" s="106"/>
      <c r="B13" s="116"/>
      <c r="C13" s="117"/>
      <c r="D13" s="172" t="s">
        <v>177</v>
      </c>
      <c r="E13" s="125" t="s">
        <v>93</v>
      </c>
      <c r="F13" s="125" t="s">
        <v>103</v>
      </c>
      <c r="G13" s="173" t="s">
        <v>101</v>
      </c>
      <c r="H13" s="169"/>
      <c r="I13" s="172" t="s">
        <v>98</v>
      </c>
      <c r="J13" s="125" t="s">
        <v>99</v>
      </c>
      <c r="K13" s="182"/>
      <c r="L13" s="283"/>
      <c r="M13" s="283"/>
      <c r="N13" s="187" t="s">
        <v>114</v>
      </c>
      <c r="O13" s="272" t="s">
        <v>122</v>
      </c>
      <c r="P13" s="272" t="s">
        <v>123</v>
      </c>
      <c r="Q13" s="270" t="s">
        <v>159</v>
      </c>
    </row>
    <row r="14" spans="1:21" ht="57.75" customHeight="1" thickBot="1" x14ac:dyDescent="0.35">
      <c r="A14" s="106"/>
      <c r="B14" s="116"/>
      <c r="C14" s="117"/>
      <c r="D14" s="284" t="s">
        <v>115</v>
      </c>
      <c r="E14" s="285"/>
      <c r="F14" s="166" t="s">
        <v>143</v>
      </c>
      <c r="G14" s="174" t="s">
        <v>109</v>
      </c>
      <c r="H14" s="170" t="s">
        <v>126</v>
      </c>
      <c r="I14" s="277" t="s">
        <v>145</v>
      </c>
      <c r="J14" s="278"/>
      <c r="K14" s="183" t="s">
        <v>97</v>
      </c>
      <c r="L14" s="130" t="s">
        <v>109</v>
      </c>
      <c r="M14" s="131" t="s">
        <v>116</v>
      </c>
      <c r="N14" s="202" t="s">
        <v>158</v>
      </c>
      <c r="O14" s="273"/>
      <c r="P14" s="273"/>
      <c r="Q14" s="271"/>
      <c r="R14" s="253"/>
      <c r="S14" s="253"/>
    </row>
    <row r="15" spans="1:21" ht="18.75" x14ac:dyDescent="0.3">
      <c r="A15" s="106"/>
      <c r="B15" s="113"/>
      <c r="C15" s="235"/>
      <c r="D15" s="113" t="str">
        <f>'Spreadsheet Use'!$D$2</f>
        <v>$</v>
      </c>
      <c r="E15" s="113" t="str">
        <f>'Spreadsheet Use'!$D$2</f>
        <v>$</v>
      </c>
      <c r="F15" s="113" t="str">
        <f>'Spreadsheet Use'!$D$2</f>
        <v>$</v>
      </c>
      <c r="G15" s="113" t="str">
        <f>'Spreadsheet Use'!$D$2</f>
        <v>$</v>
      </c>
      <c r="H15" s="134"/>
      <c r="I15" s="113"/>
      <c r="J15" s="2"/>
      <c r="K15" s="175"/>
      <c r="L15" s="113" t="str">
        <f>'Spreadsheet Use'!$D$2</f>
        <v>$</v>
      </c>
      <c r="M15" s="113" t="str">
        <f>'Spreadsheet Use'!$D$2</f>
        <v>$</v>
      </c>
      <c r="N15" s="113" t="str">
        <f>'Spreadsheet Use'!$D$2</f>
        <v>$</v>
      </c>
      <c r="O15" s="113" t="str">
        <f>'Spreadsheet Use'!$D$2</f>
        <v>$</v>
      </c>
      <c r="P15" s="113" t="str">
        <f>'Spreadsheet Use'!$D$2</f>
        <v>$</v>
      </c>
      <c r="Q15" s="249" t="str">
        <f>'Spreadsheet Use'!$D$2</f>
        <v>$</v>
      </c>
      <c r="R15" s="251"/>
      <c r="S15" s="251"/>
    </row>
    <row r="16" spans="1:21" ht="18.75" x14ac:dyDescent="0.3">
      <c r="A16" s="155" t="s">
        <v>5</v>
      </c>
      <c r="B16" s="114" t="s">
        <v>119</v>
      </c>
      <c r="C16" s="235" t="s">
        <v>73</v>
      </c>
      <c r="D16" s="176">
        <v>20000</v>
      </c>
      <c r="E16" s="164">
        <v>23575</v>
      </c>
      <c r="F16" s="164">
        <v>450</v>
      </c>
      <c r="G16" s="177">
        <v>350</v>
      </c>
      <c r="H16" s="135">
        <f>E16-D16</f>
        <v>3575</v>
      </c>
      <c r="I16" s="184">
        <v>0.25</v>
      </c>
      <c r="J16" s="165" t="s">
        <v>121</v>
      </c>
      <c r="K16" s="185" t="s">
        <v>100</v>
      </c>
      <c r="L16" s="122">
        <f>IF($I16="EXCLUDE",IF($J16="EXCLUDE",G16,G16*(100%-$J16)),IF($J16="EXCLUDE",G16*(100%-$I16),G16*(100%-$J16)*(100%-$I16)))</f>
        <v>262.5</v>
      </c>
      <c r="M16" s="122">
        <f>IF($I16="EXCLUDE",IF($J16="EXCLUDE",O16,O16*(100%-$J16)),IF($J16="EXCLUDE",O16*(100%-$I16),O16*(100%-$J16)*(100%-$I16)))</f>
        <v>16340.625</v>
      </c>
      <c r="N16" s="204">
        <f>IF(K16="Value Increase &amp; Dividends",L16+M16, IF(K16="Stocks for Dividends",L16,M16))+P16</f>
        <v>16940.625</v>
      </c>
      <c r="O16" s="128">
        <f>E16-(E16-D16)*(100%-$O$12)</f>
        <v>21787.5</v>
      </c>
      <c r="P16" s="128">
        <f>IF($I16="EXCLUDE",IF($J16="EXCLUDE",F16,F16*(100%-$J16)),IF($J16="EXCLUDE",F16*(100%-$I16),F16*(100%-$J16)*(100%-$I16)))</f>
        <v>337.5</v>
      </c>
      <c r="Q16" s="250">
        <f>IF($I16="EXCLUDE",IF($J16="EXCLUDE",H16,H16*(100%-$J16)),IF($J16="EXCLUDE",H16*(100%-$I16),H16*(100%-$J16)*(100%-$I16)))*$Q$12</f>
        <v>1340.625</v>
      </c>
      <c r="R16" s="252"/>
      <c r="S16" s="252"/>
    </row>
    <row r="17" spans="1:19" ht="18.75" x14ac:dyDescent="0.3">
      <c r="A17" s="106"/>
      <c r="B17" s="115"/>
      <c r="C17" s="235" t="s">
        <v>132</v>
      </c>
      <c r="D17" s="178"/>
      <c r="E17" s="91"/>
      <c r="F17" s="91"/>
      <c r="G17" s="179"/>
      <c r="H17" s="167"/>
      <c r="I17" s="113"/>
      <c r="J17" s="2"/>
      <c r="K17" s="175"/>
      <c r="L17" s="121"/>
      <c r="M17" s="121"/>
      <c r="N17" s="203"/>
      <c r="O17" s="128"/>
      <c r="P17" s="132"/>
      <c r="Q17" s="137"/>
      <c r="R17" s="251"/>
      <c r="S17" s="251"/>
    </row>
    <row r="18" spans="1:19" ht="18.75" x14ac:dyDescent="0.3">
      <c r="A18" s="106"/>
      <c r="B18" s="115"/>
      <c r="C18" s="235"/>
      <c r="D18" s="178"/>
      <c r="E18" s="91"/>
      <c r="F18" s="91"/>
      <c r="G18" s="179"/>
      <c r="H18" s="167"/>
      <c r="I18" s="113"/>
      <c r="J18" s="2"/>
      <c r="K18" s="175"/>
      <c r="L18" s="121"/>
      <c r="M18" s="123"/>
      <c r="N18" s="205"/>
      <c r="O18" s="128"/>
      <c r="P18" s="132"/>
      <c r="Q18" s="137"/>
      <c r="R18" s="251"/>
      <c r="S18" s="251"/>
    </row>
    <row r="19" spans="1:19" ht="18.75" x14ac:dyDescent="0.3">
      <c r="A19" s="155" t="s">
        <v>6</v>
      </c>
      <c r="B19" s="114" t="s">
        <v>120</v>
      </c>
      <c r="C19" s="235" t="s">
        <v>73</v>
      </c>
      <c r="D19" s="176">
        <v>35000</v>
      </c>
      <c r="E19" s="164">
        <v>36000</v>
      </c>
      <c r="F19" s="164">
        <v>750</v>
      </c>
      <c r="G19" s="177">
        <v>850</v>
      </c>
      <c r="H19" s="135">
        <f>E19-D19</f>
        <v>1000</v>
      </c>
      <c r="I19" s="184">
        <v>0.25</v>
      </c>
      <c r="J19" s="165" t="s">
        <v>121</v>
      </c>
      <c r="K19" s="185" t="s">
        <v>96</v>
      </c>
      <c r="L19" s="122">
        <f>IF($I19="EXCLUDE",IF($J19="EXCLUDE",G19,G19*(100%-$J19)),IF($J19="EXCLUDE",G19*(100%-$I19),G19*(100%-$J19)*(100%-$I19)))</f>
        <v>637.5</v>
      </c>
      <c r="M19" s="122">
        <f>IF($I19="EXCLUDE",IF($J19="EXCLUDE",O19,O19*(100%-$J19)),IF($J19="EXCLUDE",O19*(100%-$I19),O19*(100%-$J19)*(100%-$I19)))</f>
        <v>26625</v>
      </c>
      <c r="N19" s="204">
        <f>IF(K19="Value Increase &amp; Dividends",L19+M19, IF(K19="Stocks for Dividends",L19,M19))+P19</f>
        <v>1200</v>
      </c>
      <c r="O19" s="128">
        <f>E19-(E19-D19)*(100%-$O$12)</f>
        <v>35500</v>
      </c>
      <c r="P19" s="128">
        <f>IF($I19="EXCLUDE",IF($J19="EXCLUDE",F19,F19*(100%-$J19)),IF($J19="EXCLUDE",F19*(100%-$I19),F19*(100%-$J19)*(100%-$I19)))</f>
        <v>562.5</v>
      </c>
      <c r="Q19" s="250">
        <f>IF($I19="EXCLUDE",IF($J19="EXCLUDE",H19,H19*(100%-$J19)),IF($J19="EXCLUDE",H19*(100%-$I19),H19*(100%-$J19)*(100%-$I19)))*$Q$12</f>
        <v>375</v>
      </c>
      <c r="R19" s="252"/>
      <c r="S19" s="252"/>
    </row>
    <row r="20" spans="1:19" ht="18.75" x14ac:dyDescent="0.3">
      <c r="A20" s="106"/>
      <c r="B20" s="115"/>
      <c r="C20" s="235" t="s">
        <v>132</v>
      </c>
      <c r="D20" s="178"/>
      <c r="E20" s="91"/>
      <c r="F20" s="91"/>
      <c r="G20" s="179"/>
      <c r="H20" s="167"/>
      <c r="I20" s="113"/>
      <c r="J20" s="2"/>
      <c r="K20" s="175"/>
      <c r="L20" s="121"/>
      <c r="M20" s="121"/>
      <c r="N20" s="203"/>
      <c r="O20" s="128"/>
      <c r="P20" s="132"/>
      <c r="Q20" s="137"/>
      <c r="R20" s="251"/>
      <c r="S20" s="251"/>
    </row>
    <row r="21" spans="1:19" ht="18.75" x14ac:dyDescent="0.3">
      <c r="A21" s="106"/>
      <c r="B21" s="113"/>
      <c r="C21" s="235"/>
      <c r="D21" s="113"/>
      <c r="E21" s="2"/>
      <c r="F21" s="2"/>
      <c r="G21" s="175"/>
      <c r="H21" s="12"/>
      <c r="I21" s="113"/>
      <c r="J21" s="2"/>
      <c r="K21" s="175"/>
      <c r="L21" s="121"/>
      <c r="M21" s="123"/>
      <c r="N21" s="205"/>
      <c r="O21" s="128"/>
      <c r="P21" s="132"/>
      <c r="Q21" s="137"/>
      <c r="R21" s="251"/>
      <c r="S21" s="251"/>
    </row>
    <row r="22" spans="1:19" ht="18.75" x14ac:dyDescent="0.3">
      <c r="A22" s="155" t="s">
        <v>7</v>
      </c>
      <c r="B22" s="114" t="s">
        <v>105</v>
      </c>
      <c r="C22" s="235" t="s">
        <v>60</v>
      </c>
      <c r="D22" s="176">
        <v>50000</v>
      </c>
      <c r="E22" s="164">
        <v>51550</v>
      </c>
      <c r="F22" s="164">
        <v>0</v>
      </c>
      <c r="G22" s="177">
        <v>1050</v>
      </c>
      <c r="H22" s="135">
        <f>E22-D22</f>
        <v>1550</v>
      </c>
      <c r="I22" s="184">
        <v>0.3</v>
      </c>
      <c r="J22" s="165">
        <v>0.3</v>
      </c>
      <c r="K22" s="185" t="s">
        <v>100</v>
      </c>
      <c r="L22" s="122">
        <f>IF($I22="EXCLUDE",IF($J22="EXCLUDE",G22,G22*(100%-$J22)),IF($J22="EXCLUDE",G22*(100%-$I22),G22*(100%-$J22)*(100%-$I22)))</f>
        <v>514.5</v>
      </c>
      <c r="M22" s="122">
        <f>IF($I22="EXCLUDE",IF($J22="EXCLUDE",O22,O22*(100%-$J22)),IF($J22="EXCLUDE",O22*(100%-$I22),O22*(100%-$J22)*(100%-$I22)))</f>
        <v>24879.75</v>
      </c>
      <c r="N22" s="204">
        <f>IF(K22="Value Increase &amp; Dividends",L22+M22, IF(K22="Stocks for Dividends",L22,M22))+P22</f>
        <v>25394.25</v>
      </c>
      <c r="O22" s="128">
        <f>E22-(E22-D22)*(100%-$O$12)</f>
        <v>50775</v>
      </c>
      <c r="P22" s="128">
        <f>IF($I22="EXCLUDE",IF($J22="EXCLUDE",F22,F22*(100%-$J22)),IF($J22="EXCLUDE",F22*(100%-$I22),F22*(100%-$J22)*(100%-$I22)))</f>
        <v>0</v>
      </c>
      <c r="Q22" s="250">
        <f>IF($I22="EXCLUDE",IF($J22="EXCLUDE",H22,H22*(100%-$J22)),IF($J22="EXCLUDE",H22*(100%-$I22),H22*(100%-$J22)*(100%-$I22)))*$Q$12</f>
        <v>379.75</v>
      </c>
      <c r="R22" s="252"/>
      <c r="S22" s="252"/>
    </row>
    <row r="23" spans="1:19" ht="18.75" x14ac:dyDescent="0.3">
      <c r="A23" s="106"/>
      <c r="B23" s="115" t="s">
        <v>185</v>
      </c>
      <c r="C23" s="235" t="s">
        <v>133</v>
      </c>
      <c r="D23" s="178"/>
      <c r="E23" s="91"/>
      <c r="F23" s="91"/>
      <c r="G23" s="179"/>
      <c r="H23" s="167"/>
      <c r="I23" s="113"/>
      <c r="J23" s="2"/>
      <c r="K23" s="175"/>
      <c r="L23" s="121"/>
      <c r="M23" s="121"/>
      <c r="N23" s="203"/>
      <c r="O23" s="128"/>
      <c r="P23" s="132"/>
      <c r="Q23" s="137"/>
      <c r="R23" s="251"/>
      <c r="S23" s="251"/>
    </row>
    <row r="24" spans="1:19" ht="18.75" x14ac:dyDescent="0.3">
      <c r="A24" s="106"/>
      <c r="B24" s="113"/>
      <c r="C24" s="236"/>
      <c r="D24" s="113"/>
      <c r="E24" s="2"/>
      <c r="F24" s="2"/>
      <c r="G24" s="175"/>
      <c r="H24" s="12"/>
      <c r="I24" s="113"/>
      <c r="J24" s="2"/>
      <c r="K24" s="175"/>
      <c r="L24" s="121"/>
      <c r="M24" s="123"/>
      <c r="N24" s="205"/>
      <c r="O24" s="128"/>
      <c r="P24" s="132"/>
      <c r="Q24" s="137"/>
      <c r="R24" s="251"/>
      <c r="S24" s="251"/>
    </row>
    <row r="25" spans="1:19" ht="18.75" x14ac:dyDescent="0.3">
      <c r="A25" s="155" t="s">
        <v>9</v>
      </c>
      <c r="B25" s="114" t="s">
        <v>106</v>
      </c>
      <c r="C25" s="235" t="s">
        <v>128</v>
      </c>
      <c r="D25" s="176">
        <v>100000</v>
      </c>
      <c r="E25" s="164">
        <v>105000</v>
      </c>
      <c r="F25" s="164">
        <v>500</v>
      </c>
      <c r="G25" s="177">
        <v>550</v>
      </c>
      <c r="H25" s="135">
        <f>E25-D25</f>
        <v>5000</v>
      </c>
      <c r="I25" s="184">
        <v>0.3</v>
      </c>
      <c r="J25" s="165">
        <v>0.3</v>
      </c>
      <c r="K25" s="185" t="s">
        <v>147</v>
      </c>
      <c r="L25" s="122">
        <f>IF($I25="EXCLUDE",IF($J25="EXCLUDE",G25,G25*(100%-$J25)),IF($J25="EXCLUDE",G25*(100%-$I25),G25*(100%-$J25)*(100%-$I25)))</f>
        <v>269.5</v>
      </c>
      <c r="M25" s="122">
        <f>IF($I25="EXCLUDE",IF($J25="EXCLUDE",O25,O25*(100%-$J25)),IF($J25="EXCLUDE",O25*(100%-$I25),O25*(100%-$J25)*(100%-$I25)))</f>
        <v>50225</v>
      </c>
      <c r="N25" s="204">
        <f>IF(K25="No Access to Funds",0,IF(K25="Value Increase &amp; Dividends",L25+M25, IF(K25="Stocks for Dividends",L25,M25))+P25)</f>
        <v>0</v>
      </c>
      <c r="O25" s="128">
        <f>E25-(E25-D25)*(100%-$O$12)</f>
        <v>102500</v>
      </c>
      <c r="P25" s="128">
        <f>IF($I25="EXCLUDE",IF($J25="EXCLUDE",F25,F25*(100%-$J25)),IF($J25="EXCLUDE",F25*(100%-$I25),F25*(100%-$J25)*(100%-$I25)))</f>
        <v>244.99999999999997</v>
      </c>
      <c r="Q25" s="250">
        <f>IF($I25="EXCLUDE",IF($J25="EXCLUDE",H25,H25*(100%-$J25)),IF($J25="EXCLUDE",H25*(100%-$I25),H25*(100%-$J25)*(100%-$I25)))*$Q$12</f>
        <v>1225</v>
      </c>
      <c r="R25" s="252"/>
      <c r="S25" s="252"/>
    </row>
    <row r="26" spans="1:19" ht="19.5" thickBot="1" x14ac:dyDescent="0.35">
      <c r="A26" s="106"/>
      <c r="B26" s="116" t="s">
        <v>184</v>
      </c>
      <c r="C26" s="237" t="s">
        <v>133</v>
      </c>
      <c r="D26" s="180"/>
      <c r="E26" s="118"/>
      <c r="F26" s="118"/>
      <c r="G26" s="181"/>
      <c r="H26" s="136"/>
      <c r="I26" s="116"/>
      <c r="J26" s="117"/>
      <c r="K26" s="182"/>
      <c r="L26" s="124"/>
      <c r="M26" s="124"/>
      <c r="N26" s="187"/>
      <c r="O26" s="129"/>
      <c r="P26" s="133"/>
      <c r="Q26" s="138"/>
      <c r="R26" s="251"/>
      <c r="S26" s="251"/>
    </row>
    <row r="27" spans="1:19" s="3" customFormat="1" ht="18.75" x14ac:dyDescent="0.3">
      <c r="A27" s="106"/>
      <c r="B27" s="155" t="s">
        <v>117</v>
      </c>
      <c r="C27" s="127"/>
      <c r="D27" s="141">
        <f>SUM(D16,D19,D22,D25)</f>
        <v>205000</v>
      </c>
      <c r="E27" s="141">
        <f>SUM(E16,E19,E22,E25)</f>
        <v>216125</v>
      </c>
      <c r="F27" s="141">
        <f>SUM(F16,F19,F22,F25)</f>
        <v>1700</v>
      </c>
      <c r="G27" s="141">
        <f>SUM(G16,G19,G22,G25)</f>
        <v>2800</v>
      </c>
      <c r="H27" s="141">
        <f>SUM(H16,H19,H22,H25)</f>
        <v>11125</v>
      </c>
      <c r="I27" s="142"/>
      <c r="J27" s="142"/>
      <c r="K27" s="142"/>
      <c r="L27" s="141">
        <f t="shared" ref="L27:Q27" si="0">SUM(L16,L19,L22,L25)</f>
        <v>1684</v>
      </c>
      <c r="M27" s="141">
        <f t="shared" si="0"/>
        <v>118070.375</v>
      </c>
      <c r="N27" s="126">
        <f t="shared" si="0"/>
        <v>43534.875</v>
      </c>
      <c r="O27" s="126">
        <f t="shared" si="0"/>
        <v>210562.5</v>
      </c>
      <c r="P27" s="126">
        <f t="shared" si="0"/>
        <v>1145</v>
      </c>
      <c r="Q27" s="126">
        <f t="shared" si="0"/>
        <v>3320.375</v>
      </c>
    </row>
    <row r="28" spans="1:19" x14ac:dyDescent="0.25">
      <c r="A28" s="259" t="s">
        <v>9</v>
      </c>
      <c r="B28" t="s">
        <v>186</v>
      </c>
    </row>
    <row r="29" spans="1:19" x14ac:dyDescent="0.25">
      <c r="A29" s="259" t="s">
        <v>188</v>
      </c>
      <c r="B29" t="s">
        <v>187</v>
      </c>
    </row>
    <row r="30" spans="1:19" ht="15" customHeight="1" x14ac:dyDescent="0.25"/>
  </sheetData>
  <sheetProtection algorithmName="SHA-512" hashValue="rGWndap2/huHCS2/WmfNL5dyAcI2qCfy07ujkIee8K2ZwJkXPV06r2PzpHKIFdTqtfHMi6kTYxPSoYEvd985Vw==" saltValue="9WSgpbDW09L1Yo/oTkjbTw==" spinCount="100000" sheet="1" objects="1" scenarios="1"/>
  <mergeCells count="9">
    <mergeCell ref="B10:D10"/>
    <mergeCell ref="Q13:Q14"/>
    <mergeCell ref="O13:O14"/>
    <mergeCell ref="D11:G11"/>
    <mergeCell ref="I14:J14"/>
    <mergeCell ref="P13:P14"/>
    <mergeCell ref="D12:E12"/>
    <mergeCell ref="L12:M13"/>
    <mergeCell ref="D14:E14"/>
  </mergeCells>
  <dataValidations count="7">
    <dataValidation type="list" allowBlank="1" showInputMessage="1" showErrorMessage="1" sqref="K22 K16 K19" xr:uid="{00000000-0002-0000-0400-000000000000}">
      <formula1>"Stocks For Value Increase, Stocks for Dividends, Value Increase &amp; Dividends"</formula1>
    </dataValidation>
    <dataValidation type="list" allowBlank="1" showInputMessage="1" showErrorMessage="1" sqref="K25" xr:uid="{00000000-0002-0000-0400-000001000000}">
      <formula1>"No Access to Funds, Stocks For Value Increase, Stocks for Dividends, Value Increase &amp; Dividends"</formula1>
    </dataValidation>
    <dataValidation allowBlank="1" showInputMessage="1" showErrorMessage="1" sqref="L26:N26 L20:N20 L23:N23" xr:uid="{00000000-0002-0000-0400-000002000000}"/>
    <dataValidation type="list" allowBlank="1" showInputMessage="1" showErrorMessage="1" sqref="I16:J16 I19:J19 I22:J22 I25:J25" xr:uid="{00000000-0002-0000-0400-000003000000}">
      <formula1>"EXCLUDE,10%,15%,20%,25%,30%,35%,40%"</formula1>
    </dataValidation>
    <dataValidation type="list" allowBlank="1" showInputMessage="1" showErrorMessage="1" sqref="Q12 O12" xr:uid="{00000000-0002-0000-0400-000004000000}">
      <formula1>"25%,50%,75%,100%"</formula1>
    </dataValidation>
    <dataValidation type="list" allowBlank="1" showInputMessage="1" showErrorMessage="1" sqref="A1" xr:uid="{00000000-0002-0000-0400-000005000000}">
      <formula1>"SELECT, RETURN TO Notes"</formula1>
    </dataValidation>
    <dataValidation type="list" allowBlank="1" showInputMessage="1" showErrorMessage="1" sqref="B12" xr:uid="{00000000-0002-0000-0400-000006000000}">
      <formula1>"LUNAR, SOLAR"</formula1>
    </dataValidation>
  </dataValidations>
  <pageMargins left="0.7" right="0.7" top="0.75" bottom="0.75" header="0.3" footer="0.3"/>
  <pageSetup orientation="portrait" r:id="rId1"/>
  <headerFooter differentOddEven="1">
    <oddFooter>&amp;CSaudi Aramco: Public&amp;L&amp;1#&amp;"Arial"&amp;10&amp;K000000Saudi Aramco: Public</oddFooter>
    <evenFooter>&amp;CSaudi Aramco: Public&amp;L&amp;1#&amp;"Arial"&amp;10&amp;K000000Saudi Aramco: Public</even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rgb="FFFF0000"/>
  </sheetPr>
  <dimension ref="A1:AL52"/>
  <sheetViews>
    <sheetView showGridLines="0" zoomScale="72" zoomScaleNormal="72" workbookViewId="0">
      <selection activeCell="C5" sqref="C5"/>
    </sheetView>
  </sheetViews>
  <sheetFormatPr defaultColWidth="8.85546875" defaultRowHeight="18.75" x14ac:dyDescent="0.3"/>
  <cols>
    <col min="1" max="1" width="7.42578125" style="1" customWidth="1"/>
    <col min="2" max="2" width="8.85546875" style="1"/>
    <col min="3" max="3" width="78.42578125" style="1" bestFit="1" customWidth="1"/>
    <col min="4" max="4" width="16.85546875" style="1" customWidth="1"/>
    <col min="5" max="5" width="22.85546875" style="1" customWidth="1"/>
    <col min="6" max="6" width="16" style="1" customWidth="1"/>
    <col min="7" max="7" width="19.42578125" style="1" customWidth="1"/>
    <col min="8" max="8" width="27.7109375" style="1" customWidth="1"/>
    <col min="9" max="10" width="17.42578125" style="1" customWidth="1"/>
    <col min="11" max="11" width="20" style="1" customWidth="1"/>
    <col min="12" max="12" width="23.28515625" style="1" bestFit="1" customWidth="1"/>
    <col min="13" max="16384" width="8.85546875" style="1"/>
  </cols>
  <sheetData>
    <row r="1" spans="1:38" x14ac:dyDescent="0.3">
      <c r="A1" s="154"/>
      <c r="E1" s="31" t="s">
        <v>63</v>
      </c>
      <c r="F1" s="258">
        <v>1</v>
      </c>
      <c r="G1" s="31" t="s">
        <v>44</v>
      </c>
      <c r="H1" s="243">
        <v>1.22</v>
      </c>
      <c r="AJ1" s="1">
        <v>3150</v>
      </c>
      <c r="AK1" s="1">
        <v>3150</v>
      </c>
      <c r="AL1" s="1">
        <v>3150</v>
      </c>
    </row>
    <row r="2" spans="1:38" x14ac:dyDescent="0.3">
      <c r="C2" s="4" t="s">
        <v>176</v>
      </c>
      <c r="E2" s="31" t="s">
        <v>41</v>
      </c>
      <c r="F2" s="246">
        <v>0.27</v>
      </c>
      <c r="G2" s="31" t="s">
        <v>49</v>
      </c>
      <c r="H2" s="244">
        <v>1.2E-2</v>
      </c>
    </row>
    <row r="3" spans="1:38" ht="19.5" thickBot="1" x14ac:dyDescent="0.35">
      <c r="C3" s="27" t="s">
        <v>64</v>
      </c>
      <c r="E3" s="31" t="s">
        <v>45</v>
      </c>
      <c r="F3" s="246">
        <v>1.1000000000000001</v>
      </c>
      <c r="G3" s="31" t="s">
        <v>89</v>
      </c>
      <c r="H3" s="245">
        <v>6.2399999999999999E-3</v>
      </c>
    </row>
    <row r="4" spans="1:38" ht="19.5" thickBot="1" x14ac:dyDescent="0.35">
      <c r="C4" s="1" t="s">
        <v>83</v>
      </c>
      <c r="E4" s="255" t="str">
        <f>'INCOME-SHEET-1'!B12</f>
        <v>SOLAR</v>
      </c>
      <c r="F4" s="248"/>
      <c r="G4" s="257" t="s">
        <v>178</v>
      </c>
      <c r="H4" s="256">
        <v>1.4E-2</v>
      </c>
    </row>
    <row r="5" spans="1:38" ht="24" thickBot="1" x14ac:dyDescent="0.4">
      <c r="C5" s="46" t="s">
        <v>91</v>
      </c>
      <c r="E5" s="287" t="s">
        <v>182</v>
      </c>
      <c r="F5" s="288"/>
      <c r="G5" s="288"/>
      <c r="H5" s="161"/>
      <c r="I5" s="162"/>
      <c r="J5" s="162"/>
      <c r="K5" s="199" t="str">
        <f>D7</f>
        <v>$</v>
      </c>
    </row>
    <row r="6" spans="1:38" ht="58.5" thickTop="1" thickBot="1" x14ac:dyDescent="0.5">
      <c r="C6" s="220" t="s">
        <v>161</v>
      </c>
      <c r="E6" s="102"/>
      <c r="F6" s="107"/>
      <c r="G6" s="217" t="s">
        <v>85</v>
      </c>
      <c r="H6" s="289"/>
      <c r="I6" s="291"/>
      <c r="J6" s="240"/>
      <c r="K6" s="160" t="s">
        <v>152</v>
      </c>
    </row>
    <row r="7" spans="1:38" ht="18.95" customHeight="1" thickTop="1" thickBot="1" x14ac:dyDescent="0.4">
      <c r="B7" s="28" t="s">
        <v>37</v>
      </c>
      <c r="C7" s="6" t="s">
        <v>36</v>
      </c>
      <c r="D7" s="223" t="str">
        <f>'Spreadsheet Use'!$D$2</f>
        <v>$</v>
      </c>
      <c r="H7" s="290"/>
      <c r="I7" s="292"/>
      <c r="J7" s="241"/>
      <c r="K7" s="198">
        <f>SUM(D8,D10,D12:D17,K19:K22,D24:D26,D32:D34)-D28-D29-D30</f>
        <v>618406</v>
      </c>
    </row>
    <row r="8" spans="1:38" ht="18.95" customHeight="1" thickTop="1" thickBot="1" x14ac:dyDescent="0.35">
      <c r="B8" s="12">
        <v>1</v>
      </c>
      <c r="C8" s="8" t="s">
        <v>4</v>
      </c>
      <c r="D8" s="94">
        <v>50000</v>
      </c>
      <c r="G8" s="139">
        <v>2.5000000000000001E-2</v>
      </c>
      <c r="H8" s="221" t="s">
        <v>164</v>
      </c>
      <c r="I8" s="293"/>
      <c r="J8" s="242"/>
    </row>
    <row r="9" spans="1:38" ht="22.5" customHeight="1" thickTop="1" thickBot="1" x14ac:dyDescent="0.35">
      <c r="B9" s="12"/>
      <c r="C9" s="8"/>
      <c r="D9" s="103"/>
      <c r="G9" s="104"/>
      <c r="H9" s="98"/>
      <c r="I9" s="293"/>
      <c r="J9" s="242"/>
    </row>
    <row r="10" spans="1:38" ht="18.95" customHeight="1" thickTop="1" thickBot="1" x14ac:dyDescent="0.35">
      <c r="B10" s="39">
        <v>2</v>
      </c>
      <c r="C10" s="41" t="s">
        <v>107</v>
      </c>
      <c r="D10" s="94">
        <v>350000</v>
      </c>
      <c r="E10" s="1" t="s">
        <v>140</v>
      </c>
      <c r="G10" s="104"/>
      <c r="H10" s="98"/>
      <c r="I10" s="293"/>
      <c r="J10" s="242"/>
    </row>
    <row r="11" spans="1:38" ht="20.25" customHeight="1" thickTop="1" thickBot="1" x14ac:dyDescent="0.35">
      <c r="H11" s="9"/>
      <c r="I11" s="293"/>
      <c r="J11" s="242"/>
    </row>
    <row r="12" spans="1:38" ht="21.95" customHeight="1" thickTop="1" thickBot="1" x14ac:dyDescent="0.35">
      <c r="B12" s="12">
        <v>3</v>
      </c>
      <c r="C12" s="8" t="s">
        <v>129</v>
      </c>
      <c r="D12" s="94">
        <v>75000</v>
      </c>
      <c r="F12" s="73"/>
      <c r="G12" s="139" t="s">
        <v>76</v>
      </c>
    </row>
    <row r="13" spans="1:38" ht="21.95" customHeight="1" thickTop="1" thickBot="1" x14ac:dyDescent="0.35">
      <c r="B13" s="39">
        <v>4</v>
      </c>
      <c r="C13" s="41" t="s">
        <v>59</v>
      </c>
      <c r="D13" s="94">
        <v>5000</v>
      </c>
      <c r="G13" s="139">
        <v>2.5000000000000001E-2</v>
      </c>
    </row>
    <row r="14" spans="1:38" ht="21.95" customHeight="1" thickTop="1" thickBot="1" x14ac:dyDescent="0.35">
      <c r="B14" s="12">
        <v>5</v>
      </c>
      <c r="C14" s="96" t="s">
        <v>130</v>
      </c>
      <c r="D14" s="94">
        <v>0</v>
      </c>
      <c r="G14" s="139">
        <v>2.5000000000000001E-2</v>
      </c>
      <c r="H14" s="9"/>
    </row>
    <row r="15" spans="1:38" ht="21.95" customHeight="1" thickTop="1" thickBot="1" x14ac:dyDescent="0.35">
      <c r="B15" s="228">
        <v>6</v>
      </c>
      <c r="C15" s="190" t="s">
        <v>189</v>
      </c>
      <c r="D15" s="33">
        <v>15000</v>
      </c>
      <c r="G15" s="139" t="s">
        <v>76</v>
      </c>
      <c r="H15" s="9"/>
    </row>
    <row r="16" spans="1:38" ht="21" customHeight="1" thickTop="1" thickBot="1" x14ac:dyDescent="0.35">
      <c r="B16" s="234">
        <v>7</v>
      </c>
      <c r="C16" s="190" t="s">
        <v>141</v>
      </c>
      <c r="D16" s="94">
        <v>5000</v>
      </c>
      <c r="G16" s="139" t="s">
        <v>86</v>
      </c>
      <c r="H16" s="9"/>
      <c r="I16" s="9"/>
      <c r="J16" s="9"/>
      <c r="M16" s="143"/>
    </row>
    <row r="17" spans="2:11" ht="21" customHeight="1" thickTop="1" thickBot="1" x14ac:dyDescent="0.35">
      <c r="B17" s="228">
        <v>8</v>
      </c>
      <c r="C17" s="53" t="s">
        <v>183</v>
      </c>
      <c r="D17" s="94">
        <v>10000</v>
      </c>
      <c r="G17" s="139" t="s">
        <v>86</v>
      </c>
      <c r="H17" s="99"/>
      <c r="I17" s="99"/>
      <c r="J17" s="239"/>
    </row>
    <row r="18" spans="2:11" ht="73.5" customHeight="1" thickTop="1" thickBot="1" x14ac:dyDescent="0.35">
      <c r="B18" s="12"/>
      <c r="C18" s="8"/>
      <c r="D18" s="18" t="s">
        <v>162</v>
      </c>
      <c r="E18" s="16" t="s">
        <v>160</v>
      </c>
      <c r="G18" s="294" t="s">
        <v>85</v>
      </c>
      <c r="H18" s="295"/>
      <c r="I18" s="99"/>
      <c r="J18" s="239"/>
      <c r="K18" s="119" t="s">
        <v>163</v>
      </c>
    </row>
    <row r="19" spans="2:11" ht="26.25" customHeight="1" thickTop="1" thickBot="1" x14ac:dyDescent="0.35">
      <c r="B19" s="235">
        <v>9</v>
      </c>
      <c r="C19" s="96" t="str">
        <f>"Personal Investment:"&amp;" "&amp; 'INCOME-SHEET-1'!K16</f>
        <v>Personal Investment: Value Increase &amp; Dividends</v>
      </c>
      <c r="D19" s="206">
        <f>'INCOME-SHEET-1'!N16</f>
        <v>16940.625</v>
      </c>
      <c r="E19" s="216">
        <f>'INCOME-SHEET-1'!Q16</f>
        <v>1340.625</v>
      </c>
      <c r="G19" s="197">
        <v>2.5000000000000001E-2</v>
      </c>
      <c r="H19" s="200" t="s">
        <v>125</v>
      </c>
      <c r="I19" s="101"/>
      <c r="J19" s="101"/>
      <c r="K19" s="206">
        <f>'INCOME-SHEET-1'!M16+'INCOME-SHEET-1'!Q16</f>
        <v>17681.25</v>
      </c>
    </row>
    <row r="20" spans="2:11" ht="26.25" customHeight="1" thickTop="1" thickBot="1" x14ac:dyDescent="0.35">
      <c r="B20" s="235">
        <v>10</v>
      </c>
      <c r="C20" s="201" t="str">
        <f>"Personal Investment:"&amp;" "&amp; 'INCOME-SHEET-1'!K19</f>
        <v>Personal Investment: Stocks for Dividends</v>
      </c>
      <c r="D20" s="206">
        <f>'INCOME-SHEET-1'!N19</f>
        <v>1200</v>
      </c>
      <c r="E20" s="216">
        <f>'INCOME-SHEET-1'!Q19</f>
        <v>375</v>
      </c>
      <c r="G20" s="197">
        <v>0.1</v>
      </c>
      <c r="H20" s="219" t="s">
        <v>125</v>
      </c>
      <c r="I20" s="101"/>
      <c r="J20" s="101"/>
      <c r="K20" s="206">
        <f>'INCOME-SHEET-1'!M19+'INCOME-SHEET-1'!Q19</f>
        <v>27000</v>
      </c>
    </row>
    <row r="21" spans="2:11" ht="18.75" customHeight="1" thickTop="1" thickBot="1" x14ac:dyDescent="0.35">
      <c r="B21" s="235">
        <v>11</v>
      </c>
      <c r="C21" s="41" t="s">
        <v>138</v>
      </c>
      <c r="D21" s="206">
        <f>'INCOME-SHEET-1'!N22</f>
        <v>25394.25</v>
      </c>
      <c r="E21" s="216">
        <f>'INCOME-SHEET-1'!Q22</f>
        <v>379.75</v>
      </c>
      <c r="G21" s="197">
        <v>2.5000000000000001E-2</v>
      </c>
      <c r="H21" s="200" t="s">
        <v>125</v>
      </c>
      <c r="I21" s="101"/>
      <c r="J21" s="101"/>
      <c r="K21" s="206">
        <f>'INCOME-SHEET-1'!M22+'INCOME-SHEET-1'!P22</f>
        <v>24879.75</v>
      </c>
    </row>
    <row r="22" spans="2:11" ht="21.95" customHeight="1" thickTop="1" thickBot="1" x14ac:dyDescent="0.35">
      <c r="B22" s="235">
        <v>12</v>
      </c>
      <c r="C22" s="8" t="str">
        <f>IF(D22=0,"Pension Plan Money (Company)-Not Accessible", "Pension Plan Money (Company)")</f>
        <v>Pension Plan Money (Company)-Not Accessible</v>
      </c>
      <c r="D22" s="206">
        <f>'INCOME-SHEET-1'!N25</f>
        <v>0</v>
      </c>
      <c r="E22" s="216">
        <f>IF('INCOME-SHEET-1'!K25="No Access to Funds",0,'INCOME-SHEET-1'!Q25)</f>
        <v>0</v>
      </c>
      <c r="G22" s="197">
        <v>0.1</v>
      </c>
      <c r="H22" s="200" t="s">
        <v>125</v>
      </c>
      <c r="I22" s="101"/>
      <c r="J22" s="101"/>
      <c r="K22" s="206">
        <f>'INCOME-SHEET-1'!M25+'INCOME-SHEET-1'!P25</f>
        <v>50470</v>
      </c>
    </row>
    <row r="23" spans="2:11" ht="21.95" customHeight="1" thickTop="1" thickBot="1" x14ac:dyDescent="0.35">
      <c r="B23" s="12"/>
      <c r="C23" s="8"/>
      <c r="D23" s="192"/>
      <c r="E23" s="100"/>
      <c r="F23" s="104"/>
      <c r="G23" s="231"/>
      <c r="H23" s="101"/>
      <c r="I23" s="101"/>
      <c r="J23" s="101"/>
    </row>
    <row r="24" spans="2:11" ht="20.25" thickTop="1" thickBot="1" x14ac:dyDescent="0.35">
      <c r="B24" s="52">
        <v>13</v>
      </c>
      <c r="C24" s="53" t="s">
        <v>10</v>
      </c>
      <c r="D24" s="94">
        <v>3000</v>
      </c>
      <c r="F24" s="11"/>
      <c r="G24" s="139">
        <v>2.5000000000000001E-2</v>
      </c>
    </row>
    <row r="25" spans="2:11" ht="20.25" thickTop="1" thickBot="1" x14ac:dyDescent="0.35">
      <c r="B25" s="12">
        <v>14</v>
      </c>
      <c r="C25" s="96" t="s">
        <v>66</v>
      </c>
      <c r="D25" s="94">
        <v>12575</v>
      </c>
      <c r="E25" s="1" t="s">
        <v>8</v>
      </c>
      <c r="F25" s="11"/>
      <c r="G25" s="139">
        <v>2.5000000000000001E-2</v>
      </c>
    </row>
    <row r="26" spans="2:11" ht="20.25" thickTop="1" thickBot="1" x14ac:dyDescent="0.35">
      <c r="B26" s="52">
        <v>15</v>
      </c>
      <c r="C26" s="53" t="s">
        <v>62</v>
      </c>
      <c r="D26" s="94">
        <v>0</v>
      </c>
      <c r="E26" s="1" t="s">
        <v>27</v>
      </c>
      <c r="F26" s="11"/>
      <c r="G26" s="232"/>
    </row>
    <row r="27" spans="2:11" ht="18.75" customHeight="1" thickTop="1" thickBot="1" x14ac:dyDescent="0.35"/>
    <row r="28" spans="2:11" ht="19.5" thickBot="1" x14ac:dyDescent="0.35">
      <c r="B28" s="52">
        <v>16</v>
      </c>
      <c r="C28" s="53" t="s">
        <v>18</v>
      </c>
      <c r="D28" s="229">
        <v>3700</v>
      </c>
      <c r="H28" s="9"/>
    </row>
    <row r="29" spans="2:11" ht="19.5" thickTop="1" x14ac:dyDescent="0.3">
      <c r="B29" s="52">
        <v>17</v>
      </c>
      <c r="C29" s="53" t="s">
        <v>167</v>
      </c>
      <c r="D29" s="233">
        <v>23500</v>
      </c>
      <c r="E29" s="1" t="s">
        <v>169</v>
      </c>
      <c r="H29" s="9"/>
    </row>
    <row r="30" spans="2:11" ht="19.5" thickBot="1" x14ac:dyDescent="0.35">
      <c r="B30" s="52">
        <v>18</v>
      </c>
      <c r="C30" s="53" t="s">
        <v>168</v>
      </c>
      <c r="D30" s="230">
        <v>0</v>
      </c>
      <c r="E30" s="1" t="s">
        <v>169</v>
      </c>
      <c r="H30" s="9"/>
    </row>
    <row r="31" spans="2:11" ht="19.5" thickBot="1" x14ac:dyDescent="0.35">
      <c r="B31" s="12"/>
      <c r="C31" s="8"/>
      <c r="D31" s="18"/>
      <c r="H31" s="9"/>
    </row>
    <row r="32" spans="2:11" ht="20.25" thickTop="1" thickBot="1" x14ac:dyDescent="0.35">
      <c r="B32" s="2">
        <v>19</v>
      </c>
      <c r="C32" s="8" t="s">
        <v>24</v>
      </c>
      <c r="D32" s="94">
        <v>0</v>
      </c>
      <c r="H32" s="9"/>
    </row>
    <row r="33" spans="2:12" ht="20.25" thickTop="1" thickBot="1" x14ac:dyDescent="0.35">
      <c r="B33" s="52">
        <v>20</v>
      </c>
      <c r="C33" s="53" t="s">
        <v>25</v>
      </c>
      <c r="D33" s="94">
        <v>0</v>
      </c>
      <c r="H33" s="9"/>
    </row>
    <row r="34" spans="2:12" ht="20.25" thickTop="1" thickBot="1" x14ac:dyDescent="0.35">
      <c r="B34" s="2">
        <v>21</v>
      </c>
      <c r="C34" s="8" t="s">
        <v>26</v>
      </c>
      <c r="D34" s="94">
        <v>0</v>
      </c>
      <c r="H34" s="9"/>
    </row>
    <row r="35" spans="2:12" ht="20.25" thickTop="1" thickBot="1" x14ac:dyDescent="0.35">
      <c r="B35" s="2"/>
      <c r="C35" s="8"/>
      <c r="D35" s="18"/>
      <c r="H35" s="9"/>
    </row>
    <row r="36" spans="2:12" ht="20.25" thickTop="1" thickBot="1" x14ac:dyDescent="0.35">
      <c r="B36" s="52">
        <v>22</v>
      </c>
      <c r="C36" s="53" t="s">
        <v>42</v>
      </c>
      <c r="D36" s="32">
        <f>L43</f>
        <v>1952</v>
      </c>
      <c r="G36" s="139" t="s">
        <v>86</v>
      </c>
    </row>
    <row r="37" spans="2:12" ht="19.5" thickTop="1" x14ac:dyDescent="0.3">
      <c r="C37" s="96"/>
      <c r="D37" s="193"/>
      <c r="E37" s="96"/>
    </row>
    <row r="38" spans="2:12" ht="19.5" thickBot="1" x14ac:dyDescent="0.35">
      <c r="C38" s="25" t="s">
        <v>39</v>
      </c>
      <c r="D38" s="29" t="s">
        <v>43</v>
      </c>
      <c r="E38" s="30" t="s">
        <v>46</v>
      </c>
      <c r="F38" s="29" t="s">
        <v>38</v>
      </c>
      <c r="G38" s="30" t="s">
        <v>50</v>
      </c>
      <c r="H38" s="30" t="s">
        <v>47</v>
      </c>
      <c r="I38" s="30" t="s">
        <v>90</v>
      </c>
      <c r="J38" s="30" t="s">
        <v>179</v>
      </c>
      <c r="K38" s="224" t="s">
        <v>43</v>
      </c>
      <c r="L38" s="225" t="str">
        <f>'Spreadsheet Use'!D2</f>
        <v>$</v>
      </c>
    </row>
    <row r="39" spans="2:12" ht="20.25" thickTop="1" thickBot="1" x14ac:dyDescent="0.35">
      <c r="C39" s="26" t="s">
        <v>148</v>
      </c>
      <c r="D39" s="77" t="s">
        <v>40</v>
      </c>
      <c r="E39" s="77" t="s">
        <v>40</v>
      </c>
      <c r="F39" s="33">
        <v>1000</v>
      </c>
      <c r="G39" s="77" t="s">
        <v>40</v>
      </c>
      <c r="H39" s="78" t="s">
        <v>40</v>
      </c>
      <c r="I39" s="78" t="s">
        <v>40</v>
      </c>
      <c r="J39" s="77" t="s">
        <v>40</v>
      </c>
      <c r="K39" s="247">
        <f>IF(D39=" ",0,D39*$F$1)+IF(E39=" ",0,E39*$H$1)+(IF(F39=" ",0,F39*$F$2)+IF(G39=" ",0,G39*$H$2)+IF(H39=" ",0,H39*$F$3)+ IF(I39=" ",0,I39*$H$3)+IF(J39=" ",0,J39*$H$4))</f>
        <v>270</v>
      </c>
    </row>
    <row r="40" spans="2:12" ht="20.25" thickTop="1" thickBot="1" x14ac:dyDescent="0.35">
      <c r="C40" s="25" t="s">
        <v>149</v>
      </c>
      <c r="D40" s="77">
        <v>200</v>
      </c>
      <c r="E40" s="77" t="s">
        <v>40</v>
      </c>
      <c r="F40" s="77" t="s">
        <v>40</v>
      </c>
      <c r="G40" s="77" t="s">
        <v>40</v>
      </c>
      <c r="H40" s="78" t="s">
        <v>40</v>
      </c>
      <c r="I40" s="78" t="s">
        <v>40</v>
      </c>
      <c r="J40" s="77"/>
      <c r="K40" s="247">
        <f>IF(D40=" ",0,D40*$F$1)+IF(E40=" ",0,E40*$H$1)+(IF(F40=" ",0,F40*$F$2)+IF(G40=" ",0,G40*$H$2)+IF(H40=" ",0,H40*$F$3)+ IF(I40=" ",0,I40*$H$3)+IF(J40="",0,J40*$H$4))</f>
        <v>200</v>
      </c>
    </row>
    <row r="41" spans="2:12" ht="20.25" thickTop="1" thickBot="1" x14ac:dyDescent="0.35">
      <c r="C41" s="25" t="s">
        <v>150</v>
      </c>
      <c r="D41" s="77">
        <v>1000</v>
      </c>
      <c r="E41" s="77">
        <v>100</v>
      </c>
      <c r="F41" s="33" t="s">
        <v>40</v>
      </c>
      <c r="G41" s="77" t="s">
        <v>40</v>
      </c>
      <c r="H41" s="78" t="s">
        <v>40</v>
      </c>
      <c r="I41" s="78" t="s">
        <v>40</v>
      </c>
      <c r="J41" s="77"/>
      <c r="K41" s="247">
        <f>IF(D41=" ",0,D41*$F$1)+IF(E41=" ",0,E41*$H$1)+(IF(F41=" ",0,F41*$F$2)+IF(G41=" ",0,G41*$H$2)+IF(H41=" ",0,H41*$F$3)+ IF(I41=" ",0,I41*$H$3)+IF(J41="",0,J41*$H$4))</f>
        <v>1122</v>
      </c>
    </row>
    <row r="42" spans="2:12" ht="20.25" thickTop="1" thickBot="1" x14ac:dyDescent="0.35">
      <c r="C42" s="25" t="s">
        <v>151</v>
      </c>
      <c r="D42" s="33" t="s">
        <v>40</v>
      </c>
      <c r="E42" s="77"/>
      <c r="F42" s="77" t="s">
        <v>40</v>
      </c>
      <c r="G42" s="77">
        <v>30000</v>
      </c>
      <c r="H42" s="78" t="s">
        <v>40</v>
      </c>
      <c r="I42" s="78" t="s">
        <v>40</v>
      </c>
      <c r="J42" s="77" t="s">
        <v>40</v>
      </c>
      <c r="K42" s="247">
        <f>IF(D42=" ",0,D42*$F$1)+IF(E42=" ",0,E42*$H$1)+(IF(F42=" ",0,F42*$F$2)+IF(G42=" ",0,G42*$H$2)+IF(H42=" ",0,H42*$F$3)+ IF(I42=" ",0,I42*$H$3)+IF(J42=" ",0,J42*$H$4))</f>
        <v>360</v>
      </c>
    </row>
    <row r="43" spans="2:12" ht="19.5" thickTop="1" x14ac:dyDescent="0.3">
      <c r="C43" s="191" t="s">
        <v>104</v>
      </c>
      <c r="D43" s="85">
        <f t="shared" ref="D43:J43" si="0">SUM(D39:D42)</f>
        <v>1200</v>
      </c>
      <c r="E43" s="85">
        <f t="shared" si="0"/>
        <v>100</v>
      </c>
      <c r="F43" s="85">
        <f t="shared" si="0"/>
        <v>1000</v>
      </c>
      <c r="G43" s="85">
        <f t="shared" si="0"/>
        <v>30000</v>
      </c>
      <c r="H43" s="85">
        <f t="shared" si="0"/>
        <v>0</v>
      </c>
      <c r="I43" s="85">
        <f t="shared" si="0"/>
        <v>0</v>
      </c>
      <c r="J43" s="85">
        <f t="shared" si="0"/>
        <v>0</v>
      </c>
      <c r="K43" s="86">
        <f>SUM(K39:K42)</f>
        <v>1952</v>
      </c>
      <c r="L43" s="91">
        <f>IF('Spreadsheet Use'!D2="EURO",K43*(1/'INCOME-SHEET-2'!F3),IF('Spreadsheet Use'!D2="SAR",K43*(1/F2),IF('Spreadsheet Use'!D2="BDT",K43*(1/H2),IF('Spreadsheet Use'!D2="UKP",K43*(1/H1),IF('Spreadsheet Use'!D2="PKR",K43*(1/H3),IF('Spreadsheet Use'!D2="$",K43))))))</f>
        <v>1952</v>
      </c>
    </row>
    <row r="44" spans="2:12" x14ac:dyDescent="0.3">
      <c r="C44" s="96"/>
      <c r="D44" s="15"/>
      <c r="E44" s="15"/>
      <c r="G44" s="3"/>
      <c r="H44" s="3"/>
    </row>
    <row r="45" spans="2:12" x14ac:dyDescent="0.3">
      <c r="C45" s="96"/>
      <c r="D45" s="96"/>
      <c r="E45" s="96"/>
      <c r="G45" s="3"/>
      <c r="H45" s="3"/>
    </row>
    <row r="46" spans="2:12" x14ac:dyDescent="0.3">
      <c r="C46" s="96"/>
      <c r="D46" s="96"/>
      <c r="E46" s="96"/>
    </row>
    <row r="47" spans="2:12" x14ac:dyDescent="0.3">
      <c r="C47" s="96"/>
      <c r="D47" s="96"/>
      <c r="E47" s="96"/>
      <c r="G47" s="9"/>
      <c r="H47" s="9"/>
    </row>
    <row r="48" spans="2:12" x14ac:dyDescent="0.3">
      <c r="C48" s="96"/>
      <c r="D48" s="96"/>
      <c r="E48" s="96"/>
      <c r="G48" s="3"/>
      <c r="H48" s="3"/>
    </row>
    <row r="49" spans="3:8" x14ac:dyDescent="0.3">
      <c r="C49" s="96"/>
      <c r="D49" s="96"/>
      <c r="E49" s="96"/>
      <c r="G49" s="3"/>
      <c r="H49" s="3"/>
    </row>
    <row r="50" spans="3:8" x14ac:dyDescent="0.3">
      <c r="C50" s="96"/>
      <c r="D50" s="96"/>
      <c r="E50" s="96"/>
      <c r="G50" s="3"/>
      <c r="H50" s="3"/>
    </row>
    <row r="51" spans="3:8" x14ac:dyDescent="0.3">
      <c r="C51" s="286"/>
      <c r="D51" s="286"/>
      <c r="E51" s="97"/>
      <c r="G51" s="3"/>
      <c r="H51" s="3"/>
    </row>
    <row r="52" spans="3:8" x14ac:dyDescent="0.3">
      <c r="G52" s="3"/>
      <c r="H52" s="3"/>
    </row>
  </sheetData>
  <sheetProtection algorithmName="SHA-512" hashValue="NYFjqsV4Tw0WbS+n67pHyG8gI3lgH+cvejYZmSPjCE/yQHHZkJWv7A25s2s4UMcccZPm3aoOhoo0sbAT/j07zA==" saltValue="Oz8fAi59ruLxzWXuWGBoAQ==" spinCount="100000" sheet="1" objects="1" scenarios="1"/>
  <mergeCells count="5">
    <mergeCell ref="C51:D51"/>
    <mergeCell ref="E5:G5"/>
    <mergeCell ref="H6:H7"/>
    <mergeCell ref="I6:I11"/>
    <mergeCell ref="G18:H18"/>
  </mergeCells>
  <dataValidations count="11">
    <dataValidation type="list" allowBlank="1" showInputMessage="1" showErrorMessage="1" sqref="C16" xr:uid="{00000000-0002-0000-0500-000000000000}">
      <formula1>"Gold Jewelry Ocassionally Used Value (OMIT), Gold Jewelry Value Ocassionally Used (INCLUDE)"</formula1>
    </dataValidation>
    <dataValidation type="list" allowBlank="1" showInputMessage="1" showErrorMessage="1" sqref="G36 G15:G17" xr:uid="{00000000-0002-0000-0500-000001000000}">
      <formula1>"INCLUDE,OMIT"</formula1>
    </dataValidation>
    <dataValidation type="list" allowBlank="1" showInputMessage="1" showErrorMessage="1" sqref="A1" xr:uid="{00000000-0002-0000-0500-000002000000}">
      <formula1>"SELECT, RETURN TO Notes"</formula1>
    </dataValidation>
    <dataValidation type="list" allowBlank="1" showInputMessage="1" showErrorMessage="1" sqref="G24:G25 G19:G22" xr:uid="{00000000-0002-0000-0500-000003000000}">
      <formula1>"2.5%,10%,OMIT"</formula1>
    </dataValidation>
    <dataValidation type="list" allowBlank="1" showInputMessage="1" showErrorMessage="1" sqref="G9:G10" xr:uid="{00000000-0002-0000-0500-000004000000}">
      <formula1>"2.5%,10%"</formula1>
    </dataValidation>
    <dataValidation type="list" allowBlank="1" showInputMessage="1" showErrorMessage="1" sqref="H19:H21" xr:uid="{00000000-0002-0000-0500-000005000000}">
      <formula1>"Net Portfolio, Yearly Profit, Dividends Income Only"</formula1>
    </dataValidation>
    <dataValidation type="list" allowBlank="1" showInputMessage="1" showErrorMessage="1" sqref="C15" xr:uid="{00000000-0002-0000-0500-000006000000}">
      <formula1>"Gold Jewelry Value - used and standard as per peers (OMIT), Gold Jewelry Value - used and standard as per peers (INCLUDE)"</formula1>
    </dataValidation>
    <dataValidation type="list" allowBlank="1" showInputMessage="1" showErrorMessage="1" errorTitle="ERROR" error="You can only choose from the dropdown list" sqref="G8" xr:uid="{00000000-0002-0000-0500-000007000000}">
      <formula1>"2.5%,10%"</formula1>
    </dataValidation>
    <dataValidation type="list" allowBlank="1" showInputMessage="1" showErrorMessage="1" errorTitle="ERROR" error="You can only choose from the dropdown list" sqref="G12:G14" xr:uid="{00000000-0002-0000-0500-000008000000}">
      <formula1>"2.5%,10%,OMIT"</formula1>
    </dataValidation>
    <dataValidation type="list" allowBlank="1" showInputMessage="1" showErrorMessage="1" sqref="H22" xr:uid="{00000000-0002-0000-0500-000009000000}">
      <formula1>"Net Portfolio, Yearly Profit, Not Accessible, Dividends Income Only"</formula1>
    </dataValidation>
    <dataValidation type="list" allowBlank="1" showInputMessage="1" showErrorMessage="1" sqref="H8" xr:uid="{00000000-0002-0000-0500-00000A000000}">
      <formula1>"Your Input (OPTION-6), Default (OPTION-6)"</formula1>
    </dataValidation>
  </dataValidations>
  <pageMargins left="0.7" right="0.7" top="0.75" bottom="0.75" header="0.3" footer="0.3"/>
  <pageSetup orientation="portrait" r:id="rId1"/>
  <headerFooter differentOddEven="1">
    <oddFooter>&amp;CSaudi Aramco: Public&amp;L&amp;1#&amp;"Arial"&amp;10&amp;K000000Saudi Aramco: Public</oddFooter>
    <evenFooter>&amp;CSaudi Aramco: Public&amp;L&amp;1#&amp;"Arial"&amp;10&amp;K000000Saudi Aramco: Public</even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300" r:id="rId4" name="Button 4">
              <controlPr defaultSize="0" print="0" autoFill="0" autoPict="0" macro="[0]!Macro1">
                <anchor moveWithCells="1" sizeWithCells="1">
                  <from>
                    <xdr:col>7</xdr:col>
                    <xdr:colOff>95250</xdr:colOff>
                    <xdr:row>5</xdr:row>
                    <xdr:rowOff>209550</xdr:rowOff>
                  </from>
                  <to>
                    <xdr:col>7</xdr:col>
                    <xdr:colOff>1266825</xdr:colOff>
                    <xdr:row>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tabColor rgb="FFFF0000"/>
  </sheetPr>
  <dimension ref="A1:M97"/>
  <sheetViews>
    <sheetView showGridLines="0" zoomScale="58" zoomScaleNormal="58" workbookViewId="0">
      <selection activeCell="D19" sqref="D19"/>
    </sheetView>
  </sheetViews>
  <sheetFormatPr defaultColWidth="8.85546875" defaultRowHeight="18.75" x14ac:dyDescent="0.3"/>
  <cols>
    <col min="1" max="1" width="8.28515625" style="1" customWidth="1"/>
    <col min="2" max="2" width="9.7109375" style="1" customWidth="1"/>
    <col min="3" max="3" width="9.85546875" style="1" customWidth="1"/>
    <col min="4" max="4" width="69.42578125" style="1" customWidth="1"/>
    <col min="5" max="5" width="14.28515625" style="1" customWidth="1"/>
    <col min="6" max="6" width="14" style="1" bestFit="1" customWidth="1"/>
    <col min="7" max="7" width="14.42578125" style="1" customWidth="1"/>
    <col min="8" max="10" width="14" style="1" customWidth="1"/>
    <col min="11" max="11" width="12.42578125" style="1" customWidth="1"/>
    <col min="12" max="12" width="59.85546875" style="1" customWidth="1"/>
    <col min="13" max="16384" width="8.85546875" style="1"/>
  </cols>
  <sheetData>
    <row r="1" spans="1:13" ht="19.5" thickBot="1" x14ac:dyDescent="0.35">
      <c r="A1" s="153"/>
      <c r="E1" s="194" t="s">
        <v>53</v>
      </c>
      <c r="F1" s="9" t="s">
        <v>131</v>
      </c>
    </row>
    <row r="2" spans="1:13" ht="21.75" thickBot="1" x14ac:dyDescent="0.4">
      <c r="D2" s="37" t="s">
        <v>137</v>
      </c>
      <c r="E2" s="194" t="s">
        <v>54</v>
      </c>
      <c r="F2" s="9" t="s">
        <v>88</v>
      </c>
    </row>
    <row r="3" spans="1:13" ht="19.5" thickBot="1" x14ac:dyDescent="0.35">
      <c r="E3" s="194" t="s">
        <v>55</v>
      </c>
      <c r="F3" s="9" t="s">
        <v>111</v>
      </c>
    </row>
    <row r="4" spans="1:13" ht="19.5" thickBot="1" x14ac:dyDescent="0.35">
      <c r="E4" s="194" t="s">
        <v>56</v>
      </c>
      <c r="F4" s="9" t="s">
        <v>112</v>
      </c>
    </row>
    <row r="5" spans="1:13" ht="19.5" thickBot="1" x14ac:dyDescent="0.35">
      <c r="E5" s="194" t="s">
        <v>57</v>
      </c>
      <c r="F5" s="9" t="s">
        <v>87</v>
      </c>
    </row>
    <row r="6" spans="1:13" x14ac:dyDescent="0.3">
      <c r="E6" s="194" t="s">
        <v>71</v>
      </c>
      <c r="F6" s="1" t="s">
        <v>92</v>
      </c>
    </row>
    <row r="7" spans="1:13" x14ac:dyDescent="0.3">
      <c r="E7" s="163" t="s">
        <v>108</v>
      </c>
      <c r="F7" s="1" t="str">
        <f>IF('INCOME-SHEET-2'!E4="LUNAR","LUNAR","SOLAR")</f>
        <v>SOLAR</v>
      </c>
      <c r="G7" s="1">
        <f>IF($F$7="LUNAR",2.5,2.575)</f>
        <v>2.5750000000000002</v>
      </c>
      <c r="H7" s="1">
        <f>IF($F$7="LUNAR",10,10.3)</f>
        <v>10.3</v>
      </c>
    </row>
    <row r="8" spans="1:13" x14ac:dyDescent="0.3">
      <c r="E8" s="225" t="str">
        <f>'INCOME-SHEET-2'!$D$7</f>
        <v>$</v>
      </c>
      <c r="F8" s="225" t="str">
        <f>'INCOME-SHEET-2'!$D$7</f>
        <v>$</v>
      </c>
      <c r="G8" s="225" t="str">
        <f>'INCOME-SHEET-2'!$D$7</f>
        <v>$</v>
      </c>
      <c r="H8" s="225" t="str">
        <f>'INCOME-SHEET-2'!$D$7</f>
        <v>$</v>
      </c>
      <c r="I8" s="225" t="str">
        <f>'INCOME-SHEET-2'!$D$7</f>
        <v>$</v>
      </c>
      <c r="J8" s="225" t="str">
        <f>'INCOME-SHEET-2'!$D$7</f>
        <v>$</v>
      </c>
    </row>
    <row r="9" spans="1:13" s="146" customFormat="1" ht="16.5" customHeight="1" x14ac:dyDescent="0.35">
      <c r="D9" s="147" t="s">
        <v>0</v>
      </c>
      <c r="E9" s="147" t="s">
        <v>48</v>
      </c>
      <c r="F9" s="147" t="s">
        <v>48</v>
      </c>
      <c r="G9" s="147" t="s">
        <v>48</v>
      </c>
      <c r="H9" s="147" t="s">
        <v>48</v>
      </c>
      <c r="I9" s="147" t="s">
        <v>48</v>
      </c>
      <c r="J9" s="147" t="s">
        <v>48</v>
      </c>
      <c r="K9" s="148" t="s">
        <v>1</v>
      </c>
      <c r="L9" s="147" t="s">
        <v>2</v>
      </c>
    </row>
    <row r="10" spans="1:13" ht="21.75" customHeight="1" thickBot="1" x14ac:dyDescent="0.35">
      <c r="E10" s="54" t="s">
        <v>53</v>
      </c>
      <c r="F10" s="54" t="s">
        <v>54</v>
      </c>
      <c r="G10" s="54" t="s">
        <v>55</v>
      </c>
      <c r="H10" s="54" t="s">
        <v>56</v>
      </c>
      <c r="I10" s="54" t="s">
        <v>57</v>
      </c>
      <c r="J10" s="54" t="s">
        <v>71</v>
      </c>
    </row>
    <row r="11" spans="1:13" ht="18.95" customHeight="1" thickBot="1" x14ac:dyDescent="0.35">
      <c r="B11" s="5" t="s">
        <v>37</v>
      </c>
      <c r="C11" s="24" t="s">
        <v>33</v>
      </c>
      <c r="D11" s="17" t="s">
        <v>3</v>
      </c>
    </row>
    <row r="12" spans="1:13" ht="18.95" customHeight="1" thickTop="1" thickBot="1" x14ac:dyDescent="0.35">
      <c r="B12" s="39">
        <v>1</v>
      </c>
      <c r="C12" s="40"/>
      <c r="D12" s="41" t="s">
        <v>4</v>
      </c>
      <c r="E12" s="80">
        <f>IF(E1="OPTION-1",'INCOME-SHEET-2'!D8,"")</f>
        <v>50000</v>
      </c>
      <c r="F12" s="92">
        <f>IF(E2="OPTION-2",'INCOME-SHEET-2'!D8,"")</f>
        <v>50000</v>
      </c>
      <c r="G12" s="80">
        <f>IF(E3="OPTION-3",'INCOME-SHEET-2'!D8,"")</f>
        <v>50000</v>
      </c>
      <c r="H12" s="80">
        <f>IF(E4="OPTION-4",'INCOME-SHEET-2'!D8,"")</f>
        <v>50000</v>
      </c>
      <c r="I12" s="80">
        <f>IF(E5="OPTION-5",'INCOME-SHEET-2'!D8,"")</f>
        <v>50000</v>
      </c>
      <c r="J12" s="81">
        <f>IF(E6="OPTION-6",'INCOME-SHEET-2'!D8,"")</f>
        <v>50000</v>
      </c>
      <c r="K12" s="144" t="s">
        <v>5</v>
      </c>
      <c r="L12" s="1" t="s">
        <v>135</v>
      </c>
    </row>
    <row r="13" spans="1:13" ht="23.1" customHeight="1" thickTop="1" thickBot="1" x14ac:dyDescent="0.35">
      <c r="B13" s="2">
        <v>4</v>
      </c>
      <c r="D13" s="8" t="s">
        <v>59</v>
      </c>
      <c r="E13" s="82"/>
      <c r="F13" s="92">
        <f>IF(E2="OPTION-2",'INCOME-SHEET-2'!D13,"")</f>
        <v>5000</v>
      </c>
      <c r="G13" s="92">
        <f>IF(E3="OPTION-3",'INCOME-SHEET-2'!D13,"")</f>
        <v>5000</v>
      </c>
      <c r="H13" s="92">
        <f>IF(E4="OPTION-4",'INCOME-SHEET-2'!D13,"")</f>
        <v>5000</v>
      </c>
      <c r="I13" s="92">
        <f>IF(E5="OPTION-5",'INCOME-SHEET-2'!D13,"")</f>
        <v>5000</v>
      </c>
      <c r="J13" s="93">
        <f>IF(E6="OPTION-6",IF('INCOME-SHEET-2'!G13=2.5%,'INCOME-SHEET-2'!D13,""),"")</f>
        <v>5000</v>
      </c>
      <c r="L13" s="9" t="s">
        <v>134</v>
      </c>
      <c r="M13" s="10"/>
    </row>
    <row r="14" spans="1:13" ht="20.25" customHeight="1" thickTop="1" thickBot="1" x14ac:dyDescent="0.35">
      <c r="B14" s="38">
        <v>5</v>
      </c>
      <c r="C14" s="40"/>
      <c r="D14" s="41" t="str">
        <f>'INCOME-SHEET-2'!C14</f>
        <v>Buying &amp; Selling of Houses (real estate business)</v>
      </c>
      <c r="E14" s="80">
        <f>IF(E1="OPTION-1",'INCOME-SHEET-2'!D14,"")</f>
        <v>0</v>
      </c>
      <c r="F14" s="80">
        <f>IF(E2="OPTION-2",'INCOME-SHEET-2'!D14,"")</f>
        <v>0</v>
      </c>
      <c r="G14" s="80">
        <f>IF(E3="OPTION-3",'INCOME-SHEET-2'!D14,"")</f>
        <v>0</v>
      </c>
      <c r="H14" s="80">
        <f>IF(E4="OPTION-4",'INCOME-SHEET-2'!D14,"")</f>
        <v>0</v>
      </c>
      <c r="I14" s="80">
        <f>IF(E5="OPTION-5",'INCOME-SHEET-2'!D12+'INCOME-SHEET-2'!D14,"")</f>
        <v>75000</v>
      </c>
      <c r="J14" s="80">
        <f>IF(E6="OPTION-6",IF('INCOME-SHEET-2'!G12=2.5%,'INCOME-SHEET-2'!D12)+IF('INCOME-SHEET-2'!G14=2.5%,'INCOME-SHEET-2'!D14),"")</f>
        <v>0</v>
      </c>
      <c r="K14" s="145" t="s">
        <v>15</v>
      </c>
      <c r="L14" s="9" t="s">
        <v>35</v>
      </c>
    </row>
    <row r="15" spans="1:13" ht="20.25" customHeight="1" thickTop="1" thickBot="1" x14ac:dyDescent="0.35">
      <c r="B15" s="227">
        <v>6</v>
      </c>
      <c r="C15" s="9"/>
      <c r="D15" s="8" t="str">
        <f>'INCOME-SHEET-2'!C15</f>
        <v>Gold Jewelry Value - used and standard as per peers (INCLUDE)</v>
      </c>
      <c r="E15" s="83">
        <f>IF(AND(E1="OPTION-1",'INCOME-SHEET-2'!$C$15="Gold Jewelry Value - used and standard as per peers (INCLUDE)"),'INCOME-SHEET-2'!$D$15,"")</f>
        <v>15000</v>
      </c>
      <c r="F15" s="83">
        <f>IF(AND(E2="OPTION-2",'INCOME-SHEET-2'!$C$15="Gold Jewelry Value - used and standard as per peers (INCLUDE)"),'INCOME-SHEET-2'!$D$15,"")</f>
        <v>15000</v>
      </c>
      <c r="G15" s="83">
        <f>IF(AND(E3="OPTION-3",'INCOME-SHEET-2'!$C$15="Gold Jewelry Value - used and standard as per peers (INCLUDE)"),'INCOME-SHEET-2'!$D$15,"")</f>
        <v>15000</v>
      </c>
      <c r="H15" s="83">
        <f>IF(AND(E4="OPTION-4",'INCOME-SHEET-2'!$C$15="Gold Jewelry Value - used and standard as per peers (INCLUDE)"),'INCOME-SHEET-2'!$D$15,"")</f>
        <v>15000</v>
      </c>
      <c r="I15" s="83">
        <f>IF(AND(E5="OPTION-5",'INCOME-SHEET-2'!$C$15="Gold Jewelry Value - used and standard as per peers (INCLUDE)"),'INCOME-SHEET-2'!$D$15,"")</f>
        <v>15000</v>
      </c>
      <c r="J15" s="83" t="str">
        <f>IF(E6="OPTION-6",IF('INCOME-SHEET-2'!$G$15="OMIT"," ",'INCOME-SHEET-2'!$D$15),"")</f>
        <v xml:space="preserve"> </v>
      </c>
      <c r="K15" s="11"/>
      <c r="L15" s="9"/>
    </row>
    <row r="16" spans="1:13" ht="20.100000000000001" customHeight="1" thickTop="1" thickBot="1" x14ac:dyDescent="0.35">
      <c r="B16" s="228">
        <v>7</v>
      </c>
      <c r="C16" s="40"/>
      <c r="D16" s="41" t="str">
        <f>'INCOME-SHEET-2'!C16</f>
        <v>Gold Jewelry Value Ocassionally Used (INCLUDE)</v>
      </c>
      <c r="E16" s="83">
        <f>IF(E1="OPTION-1",IF('INCOME-SHEET-2'!$C$16="Gold Jewelry Ocassionally Used Value (OMIT)"," ",'INCOME-SHEET-2'!$D$16),"")</f>
        <v>5000</v>
      </c>
      <c r="F16" s="83">
        <f>IF(E2="OPTION-2",IF('INCOME-SHEET-2'!$C$16="Gold Jewelry Ocassionally Used Value (OMIT)"," ",'INCOME-SHEET-2'!$D$16),"")</f>
        <v>5000</v>
      </c>
      <c r="G16" s="83">
        <f>IF(E3="OPTION-3",IF('INCOME-SHEET-2'!$C$16="Gold Jewelry Ocassionally Used Value (OMIT)"," ",'INCOME-SHEET-2'!$D$16),"")</f>
        <v>5000</v>
      </c>
      <c r="H16" s="83">
        <f>IF(E4="OPTION-4",IF('INCOME-SHEET-2'!$C$16="Gold Jewelry Ocassionally Used Value (OMIT)"," ",'INCOME-SHEET-2'!$D$16),"")</f>
        <v>5000</v>
      </c>
      <c r="I16" s="83">
        <f>IF(E5="OPTION-5",IF('INCOME-SHEET-2'!$C$16="Gold Jewelry Ocassionally Used Value (OMIT)"," ",'INCOME-SHEET-2'!$D$16),"")</f>
        <v>5000</v>
      </c>
      <c r="J16" s="83">
        <f>IF(E6="OPTION-6",IF('INCOME-SHEET-2'!$G$16="OMIT"," ",'INCOME-SHEET-2'!$D$16),"")</f>
        <v>5000</v>
      </c>
      <c r="K16" s="144" t="s">
        <v>6</v>
      </c>
      <c r="L16" s="1" t="s">
        <v>8</v>
      </c>
    </row>
    <row r="17" spans="1:12" ht="20.100000000000001" customHeight="1" thickTop="1" thickBot="1" x14ac:dyDescent="0.35">
      <c r="B17" s="228">
        <v>8</v>
      </c>
      <c r="C17" s="9"/>
      <c r="D17" s="8" t="str">
        <f>'INCOME-SHEET-2'!C17</f>
        <v>Gold Investment - Jewelry for growth</v>
      </c>
      <c r="E17" s="80">
        <f>IF(E1="OPTION-1",'INCOME-SHEET-2'!$D$17,"")</f>
        <v>10000</v>
      </c>
      <c r="F17" s="80">
        <f>IF(E2="OPTION-2",'INCOME-SHEET-2'!$D$17,"")</f>
        <v>10000</v>
      </c>
      <c r="G17" s="80">
        <f>IF(E3="OPTION-3",'INCOME-SHEET-2'!$D$17,"")</f>
        <v>10000</v>
      </c>
      <c r="H17" s="80">
        <f>IF(E4="OPTION-4",'INCOME-SHEET-2'!$D$17,"")</f>
        <v>10000</v>
      </c>
      <c r="I17" s="80">
        <f>IF(E5="OPTION-5",'INCOME-SHEET-2'!$D$17,"")</f>
        <v>10000</v>
      </c>
      <c r="J17" s="83">
        <f>IF(E6="OPTION-6",IF('INCOME-SHEET-2'!$G$17="OMIT"," ",'INCOME-SHEET-2'!$D$17),"")</f>
        <v>10000</v>
      </c>
      <c r="K17" s="7"/>
      <c r="L17" s="1" t="s">
        <v>84</v>
      </c>
    </row>
    <row r="18" spans="1:12" ht="20.100000000000001" customHeight="1" thickTop="1" thickBot="1" x14ac:dyDescent="0.35">
      <c r="B18" s="12"/>
      <c r="C18" s="9"/>
      <c r="D18" s="8"/>
      <c r="E18" s="109"/>
      <c r="F18" s="109"/>
      <c r="G18" s="109"/>
      <c r="H18" s="109"/>
      <c r="I18" s="109"/>
      <c r="J18" s="109"/>
      <c r="K18" s="7"/>
    </row>
    <row r="19" spans="1:12" ht="21.95" customHeight="1" thickTop="1" thickBot="1" x14ac:dyDescent="0.35">
      <c r="B19" s="235">
        <v>9</v>
      </c>
      <c r="C19" s="40"/>
      <c r="D19" s="41" t="str">
        <f>'INCOME-SHEET-2'!C19</f>
        <v>Personal Investment: Value Increase &amp; Dividends</v>
      </c>
      <c r="E19" s="18"/>
      <c r="F19" s="47">
        <f>IF(E2="OPTION-2",'INCOME-SHEET-2'!D19,"")</f>
        <v>16940.625</v>
      </c>
      <c r="G19" s="18"/>
      <c r="H19" s="18"/>
      <c r="I19" s="47">
        <f>IF(E5="OPTION-5",'INCOME-SHEET-2'!D19,"")</f>
        <v>16940.625</v>
      </c>
      <c r="J19" s="218">
        <f>IF(AND(E6="OPTION-6",'INCOME-SHEET-2'!G19=2.5%),IF(OR('INCOME-SHEET-2'!H19="Yearly Profit",'INCOME-SHEET-2'!H19="Net Portfolio"),IF('INCOME-SHEET-2'!H19="Net Portfolio",'INCOME-SHEET-2'!D19,'INCOME-SHEET-2'!E19),'INCOME-SHEET-2'!D19),"")</f>
        <v>1340.625</v>
      </c>
      <c r="K19" s="145" t="s">
        <v>7</v>
      </c>
      <c r="L19" s="1" t="s">
        <v>8</v>
      </c>
    </row>
    <row r="20" spans="1:12" ht="21.95" customHeight="1" thickTop="1" thickBot="1" x14ac:dyDescent="0.35">
      <c r="B20" s="235">
        <v>10</v>
      </c>
      <c r="C20" s="40"/>
      <c r="D20" s="41" t="str">
        <f>'INCOME-SHEET-2'!C20</f>
        <v>Personal Investment: Stocks for Dividends</v>
      </c>
      <c r="E20" s="18"/>
      <c r="F20" s="47">
        <f>IF(E2="OPTION-2",'INCOME-SHEET-2'!D20,"")</f>
        <v>1200</v>
      </c>
      <c r="G20" s="18"/>
      <c r="H20" s="18"/>
      <c r="I20" s="47">
        <f>IF(E5="OPTION-5",'INCOME-SHEET-2'!D20,"")</f>
        <v>1200</v>
      </c>
      <c r="J20" s="218" t="str">
        <f>IF(AND(E6="OPTION-6",'INCOME-SHEET-2'!G20=2.5%),IF(OR('INCOME-SHEET-2'!H20="Yearly Profit",'INCOME-SHEET-2'!H20="Net Portfolio"),IF('INCOME-SHEET-2'!H20="Net Portfolio",'INCOME-SHEET-2'!D20,'INCOME-SHEET-2'!E20),'INCOME-SHEET-2'!D20),"")</f>
        <v/>
      </c>
      <c r="K20" s="145"/>
    </row>
    <row r="21" spans="1:12" ht="20.100000000000001" customHeight="1" thickTop="1" thickBot="1" x14ac:dyDescent="0.35">
      <c r="B21" s="235">
        <v>11</v>
      </c>
      <c r="C21" s="9"/>
      <c r="D21" s="8" t="str">
        <f>'INCOME-SHEET-2'!C21</f>
        <v>401K, IRA, Retirement, etc (Company)</v>
      </c>
      <c r="E21" s="18"/>
      <c r="F21" s="47">
        <f>IF(E2="OPTION-2",'INCOME-SHEET-2'!D21,"")</f>
        <v>25394.25</v>
      </c>
      <c r="G21" s="18"/>
      <c r="H21" s="18"/>
      <c r="I21" s="47">
        <f>IF(E5="OPTION-5",'INCOME-SHEET-2'!D21,"")</f>
        <v>25394.25</v>
      </c>
      <c r="J21" s="218">
        <f>IF(AND(E6="OPTION-6",'INCOME-SHEET-2'!G21=2.5%),IF(OR('INCOME-SHEET-2'!H21="Yearly Profit",'INCOME-SHEET-2'!H21="Net Portfolio"),IF('INCOME-SHEET-2'!H21="Net Portfolio",'INCOME-SHEET-2'!D21,'INCOME-SHEET-2'!E21),'INCOME-SHEET-2'!D21),"")</f>
        <v>379.75</v>
      </c>
      <c r="K21" s="145" t="s">
        <v>9</v>
      </c>
      <c r="L21" s="1" t="s">
        <v>8</v>
      </c>
    </row>
    <row r="22" spans="1:12" ht="21.95" customHeight="1" thickTop="1" thickBot="1" x14ac:dyDescent="0.35">
      <c r="B22" s="235">
        <v>12</v>
      </c>
      <c r="C22" s="40"/>
      <c r="D22" s="41" t="str">
        <f>'INCOME-SHEET-2'!C22</f>
        <v>Pension Plan Money (Company)-Not Accessible</v>
      </c>
      <c r="E22" s="18"/>
      <c r="F22" s="47">
        <f>IF(E2="OPTION-2",'INCOME-SHEET-2'!D22,"")</f>
        <v>0</v>
      </c>
      <c r="G22" s="18"/>
      <c r="H22" s="18"/>
      <c r="I22" s="47">
        <f>IF(E5="OPTION-5",'INCOME-SHEET-2'!D22,"")</f>
        <v>0</v>
      </c>
      <c r="J22" s="218" t="str">
        <f>IF(AND(E6="OPTION-6",'INCOME-SHEET-2'!G22=2.5%),IF(OR('INCOME-SHEET-2'!H22="Yearly Profit",'INCOME-SHEET-2'!H22="Net Portfolio"),IF('INCOME-SHEET-2'!H22="Net Portfolio",'INCOME-SHEET-2'!D22,'INCOME-SHEET-2'!E22),'INCOME-SHEET-2'!D22),"")</f>
        <v/>
      </c>
      <c r="K22" s="145" t="s">
        <v>9</v>
      </c>
      <c r="L22" s="1" t="s">
        <v>8</v>
      </c>
    </row>
    <row r="23" spans="1:12" ht="21.95" customHeight="1" thickTop="1" thickBot="1" x14ac:dyDescent="0.35">
      <c r="B23" s="12"/>
      <c r="C23" s="9"/>
      <c r="D23" s="8"/>
      <c r="E23" s="18"/>
      <c r="F23" s="110"/>
      <c r="G23" s="18"/>
      <c r="H23" s="18"/>
      <c r="I23" s="110"/>
      <c r="J23" s="110"/>
      <c r="K23" s="11"/>
    </row>
    <row r="24" spans="1:12" ht="20.25" thickTop="1" thickBot="1" x14ac:dyDescent="0.35">
      <c r="B24" s="12">
        <v>13</v>
      </c>
      <c r="C24" s="9"/>
      <c r="D24" s="8" t="s">
        <v>10</v>
      </c>
      <c r="E24" s="95">
        <f>IF(E1="OPTION-1",'INCOME-SHEET-2'!D24,"")</f>
        <v>3000</v>
      </c>
      <c r="F24" s="95">
        <f>IF(E2="OPTION-2",'INCOME-SHEET-2'!D24,"")</f>
        <v>3000</v>
      </c>
      <c r="G24" s="95">
        <f>IF(E3="OPTION-3",'INCOME-SHEET-2'!D24,"")</f>
        <v>3000</v>
      </c>
      <c r="H24" s="95">
        <f>IF(E4="OPTION-4",'INCOME-SHEET-2'!D24,"")</f>
        <v>3000</v>
      </c>
      <c r="I24" s="111">
        <f>IF(E5="OPTION-5",'INCOME-SHEET-2'!D24,"")</f>
        <v>3000</v>
      </c>
      <c r="J24" s="111">
        <f>IF(E6="OPTION-6",IF('INCOME-SHEET-2'!G24=2.5%,'INCOME-SHEET-2'!D24,0),"")</f>
        <v>3000</v>
      </c>
      <c r="K24" s="145" t="s">
        <v>11</v>
      </c>
      <c r="L24" s="1" t="s">
        <v>12</v>
      </c>
    </row>
    <row r="25" spans="1:12" ht="20.25" thickTop="1" thickBot="1" x14ac:dyDescent="0.35">
      <c r="B25" s="12">
        <v>14</v>
      </c>
      <c r="C25" s="40"/>
      <c r="D25" s="41" t="s">
        <v>66</v>
      </c>
      <c r="E25" s="95">
        <f>IF(E1="OPTION-1",'INCOME-SHEET-2'!D25,"")</f>
        <v>12575</v>
      </c>
      <c r="F25" s="95">
        <f>IF(E2="OPTION-2",'INCOME-SHEET-2'!D25,"")</f>
        <v>12575</v>
      </c>
      <c r="G25" s="95">
        <f>IF(E3="OPTION-3",'INCOME-SHEET-2'!D25,"")</f>
        <v>12575</v>
      </c>
      <c r="H25" s="95">
        <f>IF(E4="OPTION-4",'INCOME-SHEET-2'!D25,"")</f>
        <v>12575</v>
      </c>
      <c r="I25" s="95">
        <f>IF(E5="OPTION-5",'INCOME-SHEET-2'!D25,"")</f>
        <v>12575</v>
      </c>
      <c r="J25" s="111">
        <f>IF(E6="OPTION-6",IF('INCOME-SHEET-2'!G25=2.5%,'INCOME-SHEET-2'!D25,"0"),"")</f>
        <v>12575</v>
      </c>
      <c r="K25" s="145" t="s">
        <v>11</v>
      </c>
      <c r="L25" s="1" t="s">
        <v>8</v>
      </c>
    </row>
    <row r="26" spans="1:12" ht="20.25" thickTop="1" thickBot="1" x14ac:dyDescent="0.35">
      <c r="B26" s="12">
        <v>15</v>
      </c>
      <c r="C26" s="9"/>
      <c r="D26" s="8" t="s">
        <v>13</v>
      </c>
      <c r="E26" s="95">
        <f>IF(E1="OPTION-1",'INCOME-SHEET-2'!D26,"")</f>
        <v>0</v>
      </c>
      <c r="F26" s="95">
        <f>IF(E2="OPTION-2",'INCOME-SHEET-2'!D26,"")</f>
        <v>0</v>
      </c>
      <c r="G26" s="95">
        <f>IF(E3="OPTION-3",'INCOME-SHEET-2'!D26,"")</f>
        <v>0</v>
      </c>
      <c r="H26" s="95">
        <f>IF(E4="OPTION-4",'INCOME-SHEET-2'!D26,"")</f>
        <v>0</v>
      </c>
      <c r="I26" s="95">
        <f>IF(E5="OPTION-5",'INCOME-SHEET-2'!D26,"")</f>
        <v>0</v>
      </c>
      <c r="J26" s="95">
        <f>IF(E6="OPTION-6",IF(E6="OPTION-6",'INCOME-SHEET-2'!D26,""),"")</f>
        <v>0</v>
      </c>
      <c r="K26" s="145" t="s">
        <v>14</v>
      </c>
      <c r="L26" s="1" t="s">
        <v>136</v>
      </c>
    </row>
    <row r="27" spans="1:12" ht="19.5" thickTop="1" x14ac:dyDescent="0.3"/>
    <row r="28" spans="1:12" ht="19.5" thickBot="1" x14ac:dyDescent="0.35">
      <c r="B28" s="2"/>
      <c r="D28" s="19" t="s">
        <v>16</v>
      </c>
      <c r="E28" s="20">
        <f>IF(E1="OPTION-1",SUM(E12:E26),"")</f>
        <v>95575</v>
      </c>
      <c r="F28" s="20">
        <f>IF(E2="OPTION-2",SUM(F12:F26),"")</f>
        <v>144109.875</v>
      </c>
      <c r="G28" s="20">
        <f>IF(E3="OPTION-3",SUM(G12:G26),"")</f>
        <v>100575</v>
      </c>
      <c r="H28" s="20">
        <f>IF(E4="OPTION-4",SUM(H12:H26),"")</f>
        <v>100575</v>
      </c>
      <c r="I28" s="20">
        <f>IF(E5="OPTION-5",SUM(I12:I26),"")</f>
        <v>219109.875</v>
      </c>
      <c r="J28" s="20">
        <f>IF(E6="OPTION-6",SUM(J12:J26),"")</f>
        <v>87295.375</v>
      </c>
    </row>
    <row r="29" spans="1:12" ht="20.25" thickTop="1" thickBot="1" x14ac:dyDescent="0.35">
      <c r="B29" s="12">
        <v>16</v>
      </c>
      <c r="C29" s="40"/>
      <c r="D29" s="41" t="s">
        <v>170</v>
      </c>
      <c r="E29" s="95">
        <f>IF(E1="OPTION-1",SUM('INCOME-SHEET-2'!$D$28:$D$30),"")</f>
        <v>27200</v>
      </c>
      <c r="F29" s="95">
        <f>IF(E2="OPTION-2",SUM('INCOME-SHEET-2'!$D$28:$D$30),"")</f>
        <v>27200</v>
      </c>
      <c r="G29" s="95">
        <f>IF(E3="OPTION-3",SUM('INCOME-SHEET-2'!$D$28:$D$30),"")</f>
        <v>27200</v>
      </c>
      <c r="H29" s="95">
        <f>IF(E4="OPTION-4",SUM('INCOME-SHEET-2'!$D$28:$D$30),"")</f>
        <v>27200</v>
      </c>
      <c r="I29" s="95">
        <f>IF(E5="OPTION-5",SUM('INCOME-SHEET-2'!$D$28:$D$30),"")</f>
        <v>27200</v>
      </c>
      <c r="J29" s="95">
        <f>IF(E6="OPTION-6",SUM('INCOME-SHEET-2'!$D$28:$D$30),"")</f>
        <v>27200</v>
      </c>
      <c r="K29" s="145" t="s">
        <v>17</v>
      </c>
      <c r="L29" s="9" t="s">
        <v>18</v>
      </c>
    </row>
    <row r="30" spans="1:12" ht="19.5" thickTop="1" x14ac:dyDescent="0.3">
      <c r="B30" s="2"/>
      <c r="D30" s="21" t="s">
        <v>19</v>
      </c>
      <c r="E30" s="20">
        <f>IF(E1="OPTION-1",IF(E28=" ",0,E28)-IF(E29=" ",0,E29),"")</f>
        <v>68375</v>
      </c>
      <c r="F30" s="20">
        <f>IF(E2="OPTION-2",IF(F28=" ",0,F28)-IF(F29=" ",0,F29),"")</f>
        <v>116909.875</v>
      </c>
      <c r="G30" s="20">
        <f>IF(E3="OPTION-3",IF(G28=" ",0,G28)-IF(G29=" ",0,G29),"")</f>
        <v>73375</v>
      </c>
      <c r="H30" s="20">
        <f>IF(E4="OPTION-4",IF(H28=" ",0,H28)-IF(H29=" ",0,H29),"")</f>
        <v>73375</v>
      </c>
      <c r="I30" s="20">
        <f>IF(E5="OPTION-5",IF(I28=" ",0,I28)-IF(I29=" ",0,I29),"")</f>
        <v>191909.875</v>
      </c>
      <c r="J30" s="20">
        <f>IF(E6="OPTION-6",IF(J28=" ",0,J28)-IF(J29=" ",0,J29),"")</f>
        <v>60095.375</v>
      </c>
      <c r="K30" s="2"/>
    </row>
    <row r="31" spans="1:12" s="146" customFormat="1" ht="21" x14ac:dyDescent="0.35">
      <c r="B31" s="149"/>
      <c r="D31" s="150" t="s">
        <v>28</v>
      </c>
      <c r="E31" s="151">
        <f>E30*$G$7/100</f>
        <v>1760.65625</v>
      </c>
      <c r="F31" s="151">
        <f>IF(E2="OPTION-2",F30*$G$7/100,"")</f>
        <v>3010.4292812500003</v>
      </c>
      <c r="G31" s="151">
        <f>IF(E3="OPTION-3",G30*$G$7/100,"")</f>
        <v>1889.40625</v>
      </c>
      <c r="H31" s="151">
        <f>IF(E4="OPTION-4",H30*$G$7/100,"")</f>
        <v>1889.40625</v>
      </c>
      <c r="I31" s="151">
        <f>IF(E5="OPTION-5",I30*$G$7/100,"")</f>
        <v>4941.6792812500007</v>
      </c>
      <c r="J31" s="151">
        <f>IF(E6="OPTION-6",J30*$G$7/100,"")</f>
        <v>1547.4559062500002</v>
      </c>
      <c r="K31" s="149"/>
    </row>
    <row r="32" spans="1:12" ht="19.5" thickBot="1" x14ac:dyDescent="0.35">
      <c r="A32" s="9"/>
      <c r="B32" s="12"/>
      <c r="C32" s="9"/>
      <c r="D32" s="56"/>
      <c r="E32" s="91"/>
      <c r="F32" s="91"/>
      <c r="G32" s="91"/>
      <c r="H32" s="91"/>
      <c r="I32" s="91"/>
      <c r="J32" s="91"/>
      <c r="K32" s="2"/>
    </row>
    <row r="33" spans="1:13" ht="19.5" thickBot="1" x14ac:dyDescent="0.35">
      <c r="B33" s="2"/>
      <c r="C33" s="24" t="s">
        <v>32</v>
      </c>
      <c r="D33" s="17" t="s">
        <v>34</v>
      </c>
      <c r="E33" s="20"/>
      <c r="F33" s="20"/>
      <c r="G33" s="20"/>
      <c r="H33" s="20"/>
      <c r="I33" s="44"/>
      <c r="J33" s="44"/>
      <c r="K33" s="2"/>
      <c r="M33" s="22"/>
    </row>
    <row r="34" spans="1:13" ht="20.25" thickTop="1" thickBot="1" x14ac:dyDescent="0.35">
      <c r="B34" s="50">
        <v>9</v>
      </c>
      <c r="D34" s="41" t="str">
        <f>'INCOME-SHEET-2'!C19</f>
        <v>Personal Investment: Value Increase &amp; Dividends</v>
      </c>
      <c r="E34" s="47">
        <f>IF(E1="OPTION-1",'INCOME-SHEET-2'!E19)</f>
        <v>1340.625</v>
      </c>
      <c r="G34" s="47">
        <f>IF(E3="OPTION-3",IF('INCOME-SHEET-1'!K16="Stocks for Dividends",'INCOME-SHEET-2'!D19,IF(OR('INCOME-SHEET-1'!K16="Value Increase &amp; Dividends",'INCOME-SHEET-1'!K16="Stocks For Value Increase"),'INCOME-SHEET-2'!D19,"")))</f>
        <v>16940.625</v>
      </c>
      <c r="H34" s="47">
        <f>IF(E4="OPTION-4",IF('INCOME-SHEET-1'!K16="Stocks for Dividends",'INCOME-SHEET-2'!D19,IF(OR('INCOME-SHEET-1'!K16="Value Increase &amp; Dividends",'INCOME-SHEET-1'!K16="Stocks For Value Increase"),'INCOME-SHEET-2'!D19,"")))</f>
        <v>16940.625</v>
      </c>
      <c r="I34" s="45"/>
      <c r="J34" s="47" t="str">
        <f>IF(AND(E6="OPTION-6",'INCOME-SHEET-2'!G19=10%),IF(OR('INCOME-SHEET-2'!H19="Yearly Profit",'INCOME-SHEET-2'!H19="Net Portfolio"),IF('INCOME-SHEET-2'!H19="Net Portfolio",'INCOME-SHEET-2'!D19,'INCOME-SHEET-2'!E19),'INCOME-SHEET-2'!D19),"")</f>
        <v/>
      </c>
      <c r="K34" s="2"/>
      <c r="L34" s="1" t="s">
        <v>20</v>
      </c>
    </row>
    <row r="35" spans="1:13" ht="20.25" thickTop="1" thickBot="1" x14ac:dyDescent="0.35">
      <c r="B35" s="50">
        <v>10</v>
      </c>
      <c r="D35" s="41" t="str">
        <f>'INCOME-SHEET-2'!C20</f>
        <v>Personal Investment: Stocks for Dividends</v>
      </c>
      <c r="E35" s="47">
        <f>IF(E1="OPTION-1",'INCOME-SHEET-2'!E20)</f>
        <v>375</v>
      </c>
      <c r="G35" s="47">
        <f>IF(AND(E3="OPTION-3",'INCOME-SHEET-1'!K19="Stocks for Dividends"),'INCOME-SHEET-2'!D20,E21)</f>
        <v>1200</v>
      </c>
      <c r="H35" s="47">
        <f>IF(AND(E4="OPTION-4",'INCOME-SHEET-1'!K19="Stocks for Dividends"),'INCOME-SHEET-2'!D20,E21)</f>
        <v>1200</v>
      </c>
      <c r="I35" s="45"/>
      <c r="J35" s="47">
        <f>IF(AND(E6="OPTION-6",'INCOME-SHEET-2'!G20=10%),IF(OR('INCOME-SHEET-2'!H20="Yearly Profit",'INCOME-SHEET-2'!H20="Net Portfolio"),IF('INCOME-SHEET-2'!H20="Net Portfolio",'INCOME-SHEET-2'!D20,'INCOME-SHEET-2'!E20),'INCOME-SHEET-2'!D20),"")</f>
        <v>375</v>
      </c>
      <c r="K35" s="2"/>
    </row>
    <row r="36" spans="1:13" ht="20.25" thickTop="1" thickBot="1" x14ac:dyDescent="0.35">
      <c r="B36" s="50">
        <v>11</v>
      </c>
      <c r="C36" s="9"/>
      <c r="D36" s="8" t="str">
        <f>'INCOME-SHEET-2'!C21</f>
        <v>401K, IRA, Retirement, etc (Company)</v>
      </c>
      <c r="E36" s="47">
        <f>IF(E1="OPTION-1",'INCOME-SHEET-2'!E21)</f>
        <v>379.75</v>
      </c>
      <c r="F36" s="18"/>
      <c r="G36" s="18"/>
      <c r="H36" s="47">
        <f>IF(AND(E4="OPTION-4",'INCOME-SHEET-1'!K22="Stocks for Dividends"),'INCOME-SHEET-2'!D21,E22)</f>
        <v>0</v>
      </c>
      <c r="I36" s="45"/>
      <c r="J36" s="47" t="str">
        <f>IF(AND(E6="OPTION-6",'INCOME-SHEET-2'!G21=10%),IF(OR('INCOME-SHEET-2'!H21="Yearly Profit",'INCOME-SHEET-2'!H21="Net Portfolio"),IF('INCOME-SHEET-2'!H21="Net Portfolio",'INCOME-SHEET-2'!D21,'INCOME-SHEET-2'!E21),'INCOME-SHEET-2'!D21),"")</f>
        <v/>
      </c>
      <c r="K36" s="2"/>
      <c r="L36" s="1" t="s">
        <v>20</v>
      </c>
    </row>
    <row r="37" spans="1:13" ht="20.25" thickTop="1" thickBot="1" x14ac:dyDescent="0.35">
      <c r="B37" s="51">
        <v>12</v>
      </c>
      <c r="D37" s="41" t="str">
        <f>'INCOME-SHEET-2'!C22</f>
        <v>Pension Plan Money (Company)-Not Accessible</v>
      </c>
      <c r="E37" s="47">
        <f>IF(E1="OPTION-1",'INCOME-SHEET-2'!E22,"")</f>
        <v>0</v>
      </c>
      <c r="F37" s="18"/>
      <c r="G37" s="18"/>
      <c r="H37" s="47">
        <f>IF(E4="OPTION-4",'INCOME-SHEET-2'!D22,"")</f>
        <v>0</v>
      </c>
      <c r="I37" s="45"/>
      <c r="J37" s="47">
        <f>IF(AND(E6="OPTION-6",'INCOME-SHEET-2'!G22=10%),IF(OR('INCOME-SHEET-2'!H22="Yearly Profit",'INCOME-SHEET-2'!H22="Net Portfolio"),IF('INCOME-SHEET-2'!H22="Net Portfolio",'INCOME-SHEET-2'!D22,'INCOME-SHEET-2'!E22),'INCOME-SHEET-2'!D22),"")</f>
        <v>0</v>
      </c>
      <c r="K37" s="2"/>
      <c r="L37" s="1" t="s">
        <v>20</v>
      </c>
    </row>
    <row r="38" spans="1:13" ht="20.25" thickTop="1" thickBot="1" x14ac:dyDescent="0.35">
      <c r="B38" s="12">
        <v>4</v>
      </c>
      <c r="C38" s="9"/>
      <c r="D38" s="8" t="s">
        <v>59</v>
      </c>
      <c r="E38" s="80">
        <f>IF(E1="OPTION-1",'INCOME-SHEET-2'!D13,"")</f>
        <v>5000</v>
      </c>
      <c r="F38" s="18"/>
      <c r="G38" s="18"/>
      <c r="H38" s="18"/>
      <c r="I38" s="18"/>
      <c r="J38" s="79" t="str">
        <f>IF(E6="OPTION-6",IF('INCOME-SHEET-2'!G13=10%,'INCOME-SHEET-2'!D13,""),"")</f>
        <v/>
      </c>
      <c r="K38" s="2"/>
      <c r="L38" s="9" t="s">
        <v>21</v>
      </c>
    </row>
    <row r="39" spans="1:13" ht="20.25" thickTop="1" thickBot="1" x14ac:dyDescent="0.35">
      <c r="B39" s="39">
        <v>5</v>
      </c>
      <c r="C39" s="40"/>
      <c r="D39" s="41" t="str">
        <f>'INCOME-SHEET-2'!C14</f>
        <v>Buying &amp; Selling of Houses (real estate business)</v>
      </c>
      <c r="E39" s="109"/>
      <c r="F39" s="18"/>
      <c r="G39" s="18"/>
      <c r="H39" s="18"/>
      <c r="I39" s="18"/>
      <c r="J39" s="79">
        <f>IF(E6="OPTION-6",IF('INCOME-SHEET-2'!G12=10%,'INCOME-SHEET-2'!D12)+IF('INCOME-SHEET-2'!G14=10%,'INCOME-SHEET-2'!D14),"")</f>
        <v>0</v>
      </c>
      <c r="K39" s="2"/>
      <c r="L39" s="9"/>
    </row>
    <row r="40" spans="1:13" ht="20.25" thickTop="1" thickBot="1" x14ac:dyDescent="0.35">
      <c r="B40" s="12">
        <v>13</v>
      </c>
      <c r="C40" s="9"/>
      <c r="D40" s="8" t="s">
        <v>118</v>
      </c>
      <c r="E40" s="18"/>
      <c r="F40" s="18"/>
      <c r="G40" s="18"/>
      <c r="H40" s="18"/>
      <c r="I40" s="18"/>
      <c r="J40" s="79" t="str">
        <f>IF(E6="OPTION-6",IF('INCOME-SHEET-2'!G24=10%,'INCOME-SHEET-2'!D24,""),"")</f>
        <v/>
      </c>
      <c r="K40" s="2"/>
      <c r="L40" s="9"/>
    </row>
    <row r="41" spans="1:13" ht="20.25" thickTop="1" thickBot="1" x14ac:dyDescent="0.35">
      <c r="B41" s="39">
        <v>14</v>
      </c>
      <c r="C41" s="40"/>
      <c r="D41" s="41" t="s">
        <v>66</v>
      </c>
      <c r="E41" s="18"/>
      <c r="F41" s="18"/>
      <c r="G41" s="18"/>
      <c r="H41" s="18"/>
      <c r="I41" s="18"/>
      <c r="J41" s="79" t="str">
        <f>IF(E6="OPTION-6",IF('INCOME-SHEET-2'!G25=10%,'INCOME-SHEET-2'!D25,""),"")</f>
        <v/>
      </c>
      <c r="K41" s="2"/>
      <c r="L41" s="9"/>
    </row>
    <row r="42" spans="1:13" ht="19.5" thickTop="1" x14ac:dyDescent="0.3">
      <c r="B42" s="2"/>
      <c r="D42" s="21" t="s">
        <v>16</v>
      </c>
      <c r="E42" s="20">
        <f>SUM(E34:E38)</f>
        <v>7095.375</v>
      </c>
      <c r="F42" s="20" t="s">
        <v>40</v>
      </c>
      <c r="G42" s="20">
        <f>IF(E3="OPTION-3",G34,"")</f>
        <v>16940.625</v>
      </c>
      <c r="H42" s="20">
        <f>IF(E4="OPTION-4",SUM(H34:H38),"")</f>
        <v>18140.625</v>
      </c>
      <c r="I42" s="20"/>
      <c r="J42" s="20">
        <f>IF(E6="OPTION-6",SUM(J34:J41),"")</f>
        <v>375</v>
      </c>
      <c r="K42" s="2"/>
      <c r="L42" s="9"/>
    </row>
    <row r="43" spans="1:13" s="146" customFormat="1" ht="21" x14ac:dyDescent="0.35">
      <c r="B43" s="149"/>
      <c r="D43" s="150" t="s">
        <v>29</v>
      </c>
      <c r="E43" s="151">
        <f>E42*$H$7/100</f>
        <v>730.82362499999999</v>
      </c>
      <c r="F43" s="151" t="s">
        <v>40</v>
      </c>
      <c r="G43" s="151">
        <f>IF(E3="OPTION-3",G42*$H$7/100,"")</f>
        <v>1744.8843750000001</v>
      </c>
      <c r="H43" s="151">
        <f>IF(E4="OPTION-4",H42*$H$7/100,"")</f>
        <v>1868.484375</v>
      </c>
      <c r="I43" s="151" t="s">
        <v>40</v>
      </c>
      <c r="J43" s="151">
        <f>J42*$H$7/100</f>
        <v>38.625000000000007</v>
      </c>
      <c r="K43" s="149"/>
      <c r="L43" s="152"/>
    </row>
    <row r="44" spans="1:13" ht="19.5" thickBot="1" x14ac:dyDescent="0.35">
      <c r="A44" s="9"/>
      <c r="B44" s="12"/>
      <c r="C44" s="9"/>
      <c r="D44" s="56"/>
      <c r="K44" s="2"/>
      <c r="L44" s="9"/>
    </row>
    <row r="45" spans="1:13" ht="19.5" thickBot="1" x14ac:dyDescent="0.35">
      <c r="B45" s="2"/>
      <c r="C45" s="24" t="s">
        <v>31</v>
      </c>
      <c r="D45" s="297" t="s">
        <v>69</v>
      </c>
      <c r="E45" s="269"/>
      <c r="F45" s="269"/>
      <c r="G45" s="23"/>
      <c r="H45" s="23"/>
      <c r="I45" s="23"/>
      <c r="J45" s="23"/>
      <c r="K45" s="2" t="s">
        <v>65</v>
      </c>
      <c r="L45" s="9"/>
    </row>
    <row r="46" spans="1:13" ht="20.25" thickTop="1" thickBot="1" x14ac:dyDescent="0.35">
      <c r="B46" s="2">
        <v>19</v>
      </c>
      <c r="D46" s="8" t="s">
        <v>24</v>
      </c>
      <c r="E46" s="95">
        <f>IF(E1="OPTION-1",'INCOME-SHEET-2'!D32,"")</f>
        <v>0</v>
      </c>
      <c r="F46" s="95">
        <f>IF(E2="OPTION-2",'INCOME-SHEET-2'!D32,"")</f>
        <v>0</v>
      </c>
      <c r="G46" s="95">
        <f>IF(E3="OPTION-3",'INCOME-SHEET-2'!D32,"")</f>
        <v>0</v>
      </c>
      <c r="H46" s="95">
        <f>IF(E4="OPTION-4",'INCOME-SHEET-2'!D32,"")</f>
        <v>0</v>
      </c>
      <c r="I46" s="95">
        <f>IF(E5="OPTION-5",'INCOME-SHEET-2'!D32,"")</f>
        <v>0</v>
      </c>
      <c r="J46" s="95">
        <f>IF(E6="OPTION-6",'INCOME-SHEET-2'!D32,"")</f>
        <v>0</v>
      </c>
      <c r="K46" s="48">
        <v>0.1</v>
      </c>
    </row>
    <row r="47" spans="1:13" ht="20.25" thickTop="1" thickBot="1" x14ac:dyDescent="0.35">
      <c r="B47" s="39">
        <v>20</v>
      </c>
      <c r="C47" s="40"/>
      <c r="D47" s="41" t="s">
        <v>25</v>
      </c>
      <c r="E47" s="95">
        <f>IF(E1="OPTION-1",'INCOME-SHEET-2'!D33,"")</f>
        <v>0</v>
      </c>
      <c r="F47" s="95">
        <f>IF(E2="OPTION-2",'INCOME-SHEET-2'!D33,"")</f>
        <v>0</v>
      </c>
      <c r="G47" s="95">
        <f>IF(E3="OPTION-3",'INCOME-SHEET-2'!D33,"")</f>
        <v>0</v>
      </c>
      <c r="H47" s="95">
        <f>IF(E4="OPTION-4",'INCOME-SHEET-2'!D33,"")</f>
        <v>0</v>
      </c>
      <c r="I47" s="95">
        <f>IF(E5="OPTION-5",'INCOME-SHEET-2'!D33,"")</f>
        <v>0</v>
      </c>
      <c r="J47" s="95">
        <f>IF(E6="OPTION-6",'INCOME-SHEET-2'!D33,"")</f>
        <v>0</v>
      </c>
      <c r="K47" s="49">
        <v>0.05</v>
      </c>
    </row>
    <row r="48" spans="1:13" ht="24.75" customHeight="1" thickTop="1" thickBot="1" x14ac:dyDescent="0.35">
      <c r="B48" s="42">
        <v>21</v>
      </c>
      <c r="D48" s="43" t="s">
        <v>26</v>
      </c>
      <c r="E48" s="95">
        <f>IF(E1="OPTION-1",'INCOME-SHEET-2'!D34,"")</f>
        <v>0</v>
      </c>
      <c r="F48" s="95">
        <f>IF(E2="OPTION-2",'INCOME-SHEET-2'!D34,"")</f>
        <v>0</v>
      </c>
      <c r="G48" s="95">
        <f>IF(E3="OPTION-3",'INCOME-SHEET-2'!D34,"")</f>
        <v>0</v>
      </c>
      <c r="H48" s="95">
        <f>IF(E4="OPTION-4",'INCOME-SHEET-2'!D34,"")</f>
        <v>0</v>
      </c>
      <c r="I48" s="95">
        <f>IF(E5="OPTION-5",'INCOME-SHEET-2'!D34,"")</f>
        <v>0</v>
      </c>
      <c r="J48" s="95">
        <f>IF(E6="OPTION-6",'INCOME-SHEET-2'!D34,"")</f>
        <v>0</v>
      </c>
      <c r="K48" s="48">
        <v>7.4999999999999997E-2</v>
      </c>
    </row>
    <row r="49" spans="1:12" s="146" customFormat="1" ht="21.75" thickTop="1" x14ac:dyDescent="0.35">
      <c r="B49" s="149"/>
      <c r="D49" s="150" t="s">
        <v>30</v>
      </c>
      <c r="E49" s="151">
        <f>IF(E1="OPTION-1",IF(E46=" ",0,E46*$K$46)+IF(E47=" ",0,E47*$K$47)+IF(E48=" ",0,E48*$K$48),"")</f>
        <v>0</v>
      </c>
      <c r="F49" s="151">
        <f>IF(E2="OPTION-2",IF(F46=" ",0,F46*$K$46)+IF(F47=" ",0,F47*$K$47)+IF(F48=" ",0,F48*$K$48),"")</f>
        <v>0</v>
      </c>
      <c r="G49" s="151">
        <f>IF(E3="OPTION-3",IF(G46=" ",0,G46*$K$46)+IF(G47=" ",0,G47*$K$47)+IF(G48=" ",0,G48*$K$48),"")</f>
        <v>0</v>
      </c>
      <c r="H49" s="151">
        <f>IF(E4="OPTION-4",IF(H46=" ",0,H46*$K$46)+IF(H47=" ",0,H47*$K$47)+IF(H48=" ",0,H48*$K$48),"")</f>
        <v>0</v>
      </c>
      <c r="I49" s="151">
        <f>IF(E5="OPTION-5",IF(I46=" ",0,I46*$K$46)+IF(I47=" ",0,I47*$K$47)+IF(I48=" ",0,I48*$K$48),"")</f>
        <v>0</v>
      </c>
      <c r="J49" s="151">
        <f>IF(E6="OPTION-6",IF(J46=" ",0,J46*$K$46)+IF(J47=" ",0,J47*$K$47)+IF(J48=" ",0,J48*$K$48),"")</f>
        <v>0</v>
      </c>
      <c r="K49" s="149"/>
    </row>
    <row r="50" spans="1:12" ht="19.5" thickBot="1" x14ac:dyDescent="0.35">
      <c r="A50" s="59"/>
      <c r="B50" s="60"/>
      <c r="C50" s="59"/>
      <c r="D50" s="61"/>
      <c r="E50" s="62"/>
      <c r="F50" s="62"/>
      <c r="G50" s="62"/>
      <c r="H50" s="62"/>
      <c r="I50" s="62"/>
      <c r="J50" s="62"/>
      <c r="K50" s="60"/>
      <c r="L50" s="59"/>
    </row>
    <row r="51" spans="1:12" ht="19.5" thickTop="1" x14ac:dyDescent="0.3">
      <c r="A51" s="66"/>
      <c r="B51" s="67"/>
      <c r="C51" s="68"/>
      <c r="D51" s="69" t="s">
        <v>70</v>
      </c>
      <c r="E51" s="70">
        <f>SUM(E30,E42,E46:E48)</f>
        <v>75470.375</v>
      </c>
      <c r="F51" s="70">
        <f>IF(E2="OPTION-2",SUM(F30,F42,F46:F48),"")</f>
        <v>116909.875</v>
      </c>
      <c r="G51" s="70">
        <f>IF(E3="OPTION-3",SUM(G30,G42,G46:G48),"")</f>
        <v>90315.625</v>
      </c>
      <c r="H51" s="70">
        <f>IF(E4="OPTION-4",SUM(H30,H42,H46:H48),"")</f>
        <v>91515.625</v>
      </c>
      <c r="I51" s="70">
        <f>IF(E5="OPTION-5",SUM(I30,I42,I46:I48),"")</f>
        <v>191909.875</v>
      </c>
      <c r="J51" s="70">
        <f>SUM(J30,J42,J46:J48)</f>
        <v>60470.375</v>
      </c>
      <c r="K51" s="67"/>
      <c r="L51" s="71"/>
    </row>
    <row r="52" spans="1:12" ht="19.5" thickBot="1" x14ac:dyDescent="0.35">
      <c r="A52" s="72"/>
      <c r="B52" s="2"/>
      <c r="D52" s="57" t="s">
        <v>22</v>
      </c>
      <c r="E52" s="58">
        <f>SUM(E31,E43,E49)</f>
        <v>2491.479875</v>
      </c>
      <c r="F52" s="58">
        <f>IF(E2="OPTION-2",SUM(F31,F43,F49),"")</f>
        <v>3010.4292812500003</v>
      </c>
      <c r="G52" s="58">
        <f>IF(E3="OPTION-3",SUM(G31,G43,G49),"")</f>
        <v>3634.2906250000001</v>
      </c>
      <c r="H52" s="58">
        <f>IF(E4="OPTION-4",SUM(H31,H43,H49),"")</f>
        <v>3757.890625</v>
      </c>
      <c r="I52" s="58">
        <f>IF(E5="OPTION-5",SUM(I31,I43,I49),"")</f>
        <v>4941.6792812500007</v>
      </c>
      <c r="J52" s="58">
        <f>IF(E6="OPTION-6",SUM(J31,J43,J49),"")</f>
        <v>1586.0809062500002</v>
      </c>
      <c r="K52" s="2"/>
      <c r="L52" s="73"/>
    </row>
    <row r="53" spans="1:12" ht="20.25" thickTop="1" thickBot="1" x14ac:dyDescent="0.35">
      <c r="A53" s="72"/>
      <c r="B53" s="39">
        <v>22</v>
      </c>
      <c r="C53" s="40"/>
      <c r="D53" s="41" t="s">
        <v>42</v>
      </c>
      <c r="E53" s="95">
        <f>IF(E1="OPTION-1",'INCOME-SHEET-2'!$K$43,"")</f>
        <v>1952</v>
      </c>
      <c r="F53" s="95">
        <f>IF(E2="OPTION-2",'INCOME-SHEET-2'!$K$43,"")</f>
        <v>1952</v>
      </c>
      <c r="G53" s="95">
        <f>IF(E3="OPTION-3",'INCOME-SHEET-2'!$K$43,"")</f>
        <v>1952</v>
      </c>
      <c r="H53" s="95">
        <f>IF(E4="OPTION-4",'INCOME-SHEET-2'!$K$43,"")</f>
        <v>1952</v>
      </c>
      <c r="I53" s="95">
        <f>IF(E5="OPTION-5",'INCOME-SHEET-2'!$K$43,"")</f>
        <v>1952</v>
      </c>
      <c r="J53" s="95">
        <f>IF('INCOME-SHEET-2'!G36="INCLUDE",'INCOME-SHEET-2'!$K$43,"")</f>
        <v>1952</v>
      </c>
      <c r="K53" s="2"/>
      <c r="L53" s="73"/>
    </row>
    <row r="54" spans="1:12" ht="24" thickTop="1" x14ac:dyDescent="0.35">
      <c r="A54" s="298" t="s">
        <v>61</v>
      </c>
      <c r="B54" s="299"/>
      <c r="C54" s="299"/>
      <c r="D54" s="34" t="s">
        <v>23</v>
      </c>
      <c r="E54" s="35">
        <f>IF(E1="OPTION-1",E52-E53,"")</f>
        <v>539.47987499999999</v>
      </c>
      <c r="F54" s="35">
        <f>IF(E2="OPTION-2",F52-F53,"")</f>
        <v>1058.4292812500003</v>
      </c>
      <c r="G54" s="35">
        <f>IF(E3="OPTION-3",G52-G53,"")</f>
        <v>1682.2906250000001</v>
      </c>
      <c r="H54" s="35">
        <f>IF(E4="OPTION-4",H52-H53,"")</f>
        <v>1805.890625</v>
      </c>
      <c r="I54" s="35">
        <f>IF(E5="OPTION-5",I52-I53,"")</f>
        <v>2989.6792812500007</v>
      </c>
      <c r="J54" s="35">
        <f>IF(E6="OPTION-6",IF('INCOME-SHEET-2'!G36="INCLUDE",J52-J53,J52),"")</f>
        <v>-365.91909374999977</v>
      </c>
      <c r="K54" s="36" t="s">
        <v>51</v>
      </c>
      <c r="L54" s="74"/>
    </row>
    <row r="55" spans="1:12" ht="19.5" thickBot="1" x14ac:dyDescent="0.35">
      <c r="A55" s="75"/>
      <c r="B55" s="59"/>
      <c r="C55" s="59"/>
      <c r="D55" s="63"/>
      <c r="E55" s="64" t="s">
        <v>53</v>
      </c>
      <c r="F55" s="64" t="s">
        <v>54</v>
      </c>
      <c r="G55" s="64" t="s">
        <v>55</v>
      </c>
      <c r="H55" s="64" t="s">
        <v>56</v>
      </c>
      <c r="I55" s="64" t="s">
        <v>57</v>
      </c>
      <c r="J55" s="64" t="s">
        <v>71</v>
      </c>
      <c r="K55" s="59"/>
      <c r="L55" s="76"/>
    </row>
    <row r="56" spans="1:12" ht="19.5" thickTop="1" x14ac:dyDescent="0.3">
      <c r="D56" s="96"/>
      <c r="E56" s="65"/>
      <c r="F56" s="65"/>
      <c r="G56" s="65"/>
      <c r="H56" s="65"/>
      <c r="I56" s="65"/>
      <c r="J56" s="65"/>
    </row>
    <row r="57" spans="1:12" ht="21" x14ac:dyDescent="0.35">
      <c r="B57" s="300" t="s">
        <v>1</v>
      </c>
      <c r="C57" s="301"/>
      <c r="D57" s="301"/>
      <c r="E57" s="96"/>
      <c r="F57" s="96"/>
      <c r="G57" s="96"/>
      <c r="H57" s="96"/>
      <c r="I57" s="96"/>
      <c r="J57" s="96"/>
    </row>
    <row r="58" spans="1:12" x14ac:dyDescent="0.3">
      <c r="D58" s="96"/>
      <c r="E58" s="96"/>
      <c r="F58" s="96"/>
      <c r="G58" s="96"/>
      <c r="H58" s="96"/>
      <c r="I58" s="96"/>
      <c r="J58" s="96"/>
      <c r="L58" s="3"/>
    </row>
    <row r="59" spans="1:12" x14ac:dyDescent="0.3">
      <c r="D59" s="96"/>
      <c r="E59" s="96"/>
      <c r="F59" s="96"/>
      <c r="G59" s="96"/>
      <c r="H59" s="96"/>
      <c r="I59" s="96"/>
      <c r="J59" s="96"/>
      <c r="L59" s="3"/>
    </row>
    <row r="60" spans="1:12" x14ac:dyDescent="0.3">
      <c r="D60" s="96"/>
      <c r="E60" s="96"/>
      <c r="F60" s="96"/>
      <c r="G60" s="96"/>
      <c r="H60" s="96"/>
      <c r="I60" s="96"/>
      <c r="J60" s="96"/>
      <c r="L60" s="3"/>
    </row>
    <row r="61" spans="1:12" x14ac:dyDescent="0.3">
      <c r="D61" s="96"/>
      <c r="E61" s="96"/>
      <c r="F61" s="96"/>
      <c r="G61" s="96"/>
      <c r="H61" s="96"/>
      <c r="I61" s="96"/>
      <c r="J61" s="96"/>
      <c r="L61" s="13"/>
    </row>
    <row r="62" spans="1:12" x14ac:dyDescent="0.3">
      <c r="D62" s="96"/>
      <c r="E62" s="96"/>
      <c r="F62" s="96"/>
      <c r="G62" s="96"/>
      <c r="H62" s="96"/>
      <c r="I62" s="96"/>
      <c r="J62" s="96"/>
      <c r="L62" s="14"/>
    </row>
    <row r="63" spans="1:12" x14ac:dyDescent="0.3">
      <c r="D63" s="96"/>
      <c r="E63" s="96"/>
      <c r="F63" s="96"/>
      <c r="G63" s="96"/>
      <c r="H63" s="96"/>
      <c r="I63" s="96"/>
      <c r="J63" s="96"/>
      <c r="L63" s="3"/>
    </row>
    <row r="64" spans="1:12" x14ac:dyDescent="0.3">
      <c r="D64" s="96"/>
      <c r="E64" s="96"/>
      <c r="F64" s="96"/>
      <c r="G64" s="96"/>
      <c r="H64" s="96"/>
      <c r="I64" s="96"/>
      <c r="J64" s="96"/>
      <c r="L64" s="3"/>
    </row>
    <row r="65" spans="4:12" x14ac:dyDescent="0.3">
      <c r="D65" s="96"/>
      <c r="E65" s="15"/>
      <c r="F65" s="15"/>
      <c r="G65" s="15"/>
      <c r="H65" s="15"/>
      <c r="I65" s="15"/>
      <c r="J65" s="15"/>
      <c r="L65" s="3"/>
    </row>
    <row r="66" spans="4:12" x14ac:dyDescent="0.3">
      <c r="L66" s="3"/>
    </row>
    <row r="67" spans="4:12" x14ac:dyDescent="0.3">
      <c r="D67" s="286"/>
      <c r="E67" s="286"/>
      <c r="F67" s="97"/>
      <c r="G67" s="97"/>
      <c r="H67" s="97"/>
      <c r="I67" s="97"/>
      <c r="J67" s="97"/>
      <c r="L67" s="3"/>
    </row>
    <row r="68" spans="4:12" x14ac:dyDescent="0.3">
      <c r="D68" s="96"/>
      <c r="E68" s="16"/>
      <c r="F68" s="16"/>
      <c r="G68" s="16"/>
      <c r="H68" s="16"/>
      <c r="I68" s="16"/>
      <c r="J68" s="16"/>
      <c r="L68" s="3"/>
    </row>
    <row r="69" spans="4:12" x14ac:dyDescent="0.3">
      <c r="D69" s="96"/>
      <c r="E69" s="15"/>
      <c r="F69" s="15"/>
      <c r="G69" s="15"/>
      <c r="H69" s="15"/>
      <c r="I69" s="15"/>
      <c r="J69" s="15"/>
      <c r="L69" s="3"/>
    </row>
    <row r="70" spans="4:12" x14ac:dyDescent="0.3">
      <c r="D70" s="96"/>
      <c r="E70" s="15"/>
      <c r="F70" s="15"/>
      <c r="G70" s="15"/>
      <c r="H70" s="15"/>
      <c r="I70" s="15"/>
      <c r="J70" s="15"/>
      <c r="L70" s="3"/>
    </row>
    <row r="71" spans="4:12" x14ac:dyDescent="0.3">
      <c r="D71" s="96"/>
      <c r="E71" s="15"/>
      <c r="F71" s="15"/>
      <c r="G71" s="15"/>
      <c r="H71" s="15"/>
      <c r="I71" s="15"/>
      <c r="J71" s="15"/>
      <c r="L71" s="3"/>
    </row>
    <row r="72" spans="4:12" x14ac:dyDescent="0.3">
      <c r="D72" s="96"/>
      <c r="E72" s="15"/>
      <c r="F72" s="15"/>
      <c r="G72" s="15"/>
      <c r="H72" s="15"/>
      <c r="I72" s="15"/>
      <c r="J72" s="15"/>
      <c r="L72" s="3"/>
    </row>
    <row r="73" spans="4:12" x14ac:dyDescent="0.3">
      <c r="L73" s="3"/>
    </row>
    <row r="74" spans="4:12" x14ac:dyDescent="0.3">
      <c r="D74" s="296"/>
      <c r="E74" s="296"/>
      <c r="F74" s="96"/>
      <c r="G74" s="96"/>
      <c r="H74" s="96"/>
      <c r="I74" s="96"/>
      <c r="J74" s="96"/>
      <c r="L74" s="3"/>
    </row>
    <row r="75" spans="4:12" x14ac:dyDescent="0.3">
      <c r="D75" s="296"/>
      <c r="E75" s="296"/>
      <c r="F75" s="96"/>
      <c r="G75" s="96"/>
      <c r="H75" s="96"/>
      <c r="I75" s="96"/>
      <c r="J75" s="96"/>
      <c r="L75" s="3"/>
    </row>
    <row r="76" spans="4:12" x14ac:dyDescent="0.3">
      <c r="D76" s="286"/>
      <c r="E76" s="286"/>
      <c r="F76" s="97"/>
      <c r="G76" s="97"/>
      <c r="H76" s="97"/>
      <c r="I76" s="97"/>
      <c r="J76" s="97"/>
      <c r="L76" s="3"/>
    </row>
    <row r="77" spans="4:12" x14ac:dyDescent="0.3">
      <c r="D77" s="296"/>
      <c r="E77" s="296"/>
      <c r="F77" s="96"/>
      <c r="G77" s="96"/>
      <c r="H77" s="96"/>
      <c r="I77" s="96"/>
      <c r="J77" s="96"/>
      <c r="L77" s="3"/>
    </row>
    <row r="78" spans="4:12" x14ac:dyDescent="0.3">
      <c r="D78" s="296"/>
      <c r="E78" s="296"/>
      <c r="F78" s="96"/>
      <c r="G78" s="96"/>
      <c r="H78" s="96"/>
      <c r="I78" s="96"/>
      <c r="J78" s="96"/>
      <c r="L78" s="3"/>
    </row>
    <row r="79" spans="4:12" x14ac:dyDescent="0.3">
      <c r="D79" s="96"/>
      <c r="E79" s="16"/>
      <c r="F79" s="16"/>
      <c r="G79" s="16"/>
      <c r="H79" s="16"/>
      <c r="I79" s="16"/>
      <c r="J79" s="16"/>
      <c r="L79" s="3"/>
    </row>
    <row r="80" spans="4:12" x14ac:dyDescent="0.3">
      <c r="D80" s="96"/>
      <c r="E80" s="96"/>
      <c r="F80" s="96"/>
      <c r="G80" s="96"/>
      <c r="H80" s="96"/>
      <c r="I80" s="96"/>
      <c r="J80" s="96"/>
      <c r="L80" s="3"/>
    </row>
    <row r="81" spans="4:12" x14ac:dyDescent="0.3">
      <c r="D81" s="96"/>
      <c r="E81" s="96"/>
      <c r="F81" s="96"/>
      <c r="G81" s="96"/>
      <c r="H81" s="96"/>
      <c r="I81" s="96"/>
      <c r="J81" s="96"/>
      <c r="L81" s="3"/>
    </row>
    <row r="82" spans="4:12" x14ac:dyDescent="0.3">
      <c r="D82" s="96"/>
      <c r="E82" s="96"/>
      <c r="F82" s="96"/>
      <c r="G82" s="96"/>
      <c r="H82" s="96"/>
      <c r="I82" s="96"/>
      <c r="J82" s="96"/>
      <c r="L82" s="3"/>
    </row>
    <row r="83" spans="4:12" x14ac:dyDescent="0.3">
      <c r="D83" s="96"/>
      <c r="E83" s="96"/>
      <c r="F83" s="96"/>
      <c r="G83" s="96"/>
      <c r="H83" s="96"/>
      <c r="I83" s="96"/>
      <c r="J83" s="96"/>
      <c r="L83" s="3"/>
    </row>
    <row r="84" spans="4:12" x14ac:dyDescent="0.3">
      <c r="D84" s="96"/>
      <c r="E84" s="96"/>
      <c r="F84" s="96"/>
      <c r="G84" s="96"/>
      <c r="H84" s="96"/>
      <c r="I84" s="96"/>
      <c r="J84" s="96"/>
      <c r="L84" s="3"/>
    </row>
    <row r="85" spans="4:12" x14ac:dyDescent="0.3">
      <c r="D85" s="96"/>
      <c r="E85" s="96"/>
      <c r="F85" s="96"/>
      <c r="G85" s="96"/>
      <c r="H85" s="96"/>
      <c r="I85" s="96"/>
      <c r="J85" s="96"/>
      <c r="L85" s="3"/>
    </row>
    <row r="86" spans="4:12" x14ac:dyDescent="0.3">
      <c r="D86" s="96"/>
      <c r="E86" s="96"/>
      <c r="F86" s="96"/>
      <c r="G86" s="96"/>
      <c r="H86" s="96"/>
      <c r="I86" s="96"/>
      <c r="J86" s="96"/>
      <c r="L86" s="3"/>
    </row>
    <row r="87" spans="4:12" x14ac:dyDescent="0.3">
      <c r="D87" s="96"/>
      <c r="E87" s="96"/>
      <c r="F87" s="96"/>
      <c r="G87" s="96"/>
      <c r="H87" s="96"/>
      <c r="I87" s="96"/>
      <c r="J87" s="96"/>
      <c r="L87" s="3"/>
    </row>
    <row r="88" spans="4:12" x14ac:dyDescent="0.3">
      <c r="D88" s="96"/>
      <c r="E88" s="96"/>
      <c r="F88" s="96"/>
      <c r="G88" s="96"/>
      <c r="H88" s="96"/>
      <c r="I88" s="96"/>
      <c r="J88" s="96"/>
      <c r="L88" s="3"/>
    </row>
    <row r="89" spans="4:12" x14ac:dyDescent="0.3">
      <c r="D89" s="96"/>
      <c r="E89" s="96"/>
      <c r="F89" s="96"/>
      <c r="G89" s="96"/>
      <c r="H89" s="96"/>
      <c r="I89" s="96"/>
      <c r="J89" s="96"/>
      <c r="L89" s="3"/>
    </row>
    <row r="90" spans="4:12" x14ac:dyDescent="0.3">
      <c r="D90" s="96"/>
      <c r="E90" s="96"/>
      <c r="F90" s="96"/>
      <c r="G90" s="96"/>
      <c r="H90" s="96"/>
      <c r="I90" s="96"/>
      <c r="J90" s="96"/>
      <c r="L90" s="3"/>
    </row>
    <row r="91" spans="4:12" x14ac:dyDescent="0.3">
      <c r="D91" s="96"/>
      <c r="E91" s="96"/>
      <c r="F91" s="96"/>
      <c r="G91" s="96"/>
      <c r="H91" s="96"/>
      <c r="I91" s="96"/>
      <c r="J91" s="96"/>
    </row>
    <row r="92" spans="4:12" x14ac:dyDescent="0.3">
      <c r="D92" s="96"/>
      <c r="E92" s="96"/>
      <c r="F92" s="96"/>
      <c r="G92" s="96"/>
      <c r="H92" s="96"/>
      <c r="I92" s="96"/>
      <c r="J92" s="96"/>
      <c r="L92" s="9"/>
    </row>
    <row r="93" spans="4:12" x14ac:dyDescent="0.3">
      <c r="D93" s="96"/>
      <c r="E93" s="96"/>
      <c r="F93" s="96"/>
      <c r="G93" s="96"/>
      <c r="H93" s="96"/>
      <c r="I93" s="96"/>
      <c r="J93" s="96"/>
      <c r="L93" s="3"/>
    </row>
    <row r="94" spans="4:12" x14ac:dyDescent="0.3">
      <c r="D94" s="96"/>
      <c r="E94" s="96"/>
      <c r="F94" s="96"/>
      <c r="G94" s="96"/>
      <c r="H94" s="96"/>
      <c r="I94" s="96"/>
      <c r="J94" s="96"/>
      <c r="L94" s="3"/>
    </row>
    <row r="95" spans="4:12" x14ac:dyDescent="0.3">
      <c r="D95" s="96"/>
      <c r="E95" s="96"/>
      <c r="F95" s="96"/>
      <c r="G95" s="96"/>
      <c r="H95" s="96"/>
      <c r="I95" s="96"/>
      <c r="J95" s="96"/>
      <c r="L95" s="3"/>
    </row>
    <row r="96" spans="4:12" x14ac:dyDescent="0.3">
      <c r="D96" s="286"/>
      <c r="E96" s="286"/>
      <c r="F96" s="97"/>
      <c r="G96" s="97"/>
      <c r="H96" s="97"/>
      <c r="I96" s="97"/>
      <c r="J96" s="97"/>
      <c r="L96" s="3"/>
    </row>
    <row r="97" spans="12:12" x14ac:dyDescent="0.3">
      <c r="L97" s="3"/>
    </row>
  </sheetData>
  <sheetProtection algorithmName="SHA-512" hashValue="/dSGa8oqM2Y5d4FsahfkcwuHlMVZ8Pv30BSDICoEfETsm7+ClR9oVJuT40EwBQq13c6HOBHHBVsi+A3AlY1xsA==" saltValue="jtNF8LR+1LMHYNruTCzrPw==" spinCount="100000" sheet="1" objects="1" scenarios="1"/>
  <mergeCells count="10">
    <mergeCell ref="A54:C54"/>
    <mergeCell ref="B57:D57"/>
    <mergeCell ref="D67:E67"/>
    <mergeCell ref="D74:E74"/>
    <mergeCell ref="D75:E75"/>
    <mergeCell ref="D76:E76"/>
    <mergeCell ref="D77:E77"/>
    <mergeCell ref="D78:E78"/>
    <mergeCell ref="D96:E96"/>
    <mergeCell ref="D45:F45"/>
  </mergeCells>
  <dataValidations count="7">
    <dataValidation type="list" allowBlank="1" showInputMessage="1" showErrorMessage="1" sqref="A1" xr:uid="{00000000-0002-0000-0600-000000000000}">
      <formula1>"SELECT, RETURN TO Notes"</formula1>
    </dataValidation>
    <dataValidation type="list" allowBlank="1" showInputMessage="1" showErrorMessage="1" sqref="E1" xr:uid="{00000000-0002-0000-0600-000001000000}">
      <formula1>"OPTION-1, OMIT"</formula1>
    </dataValidation>
    <dataValidation type="list" allowBlank="1" showInputMessage="1" showErrorMessage="1" sqref="E2" xr:uid="{00000000-0002-0000-0600-000002000000}">
      <formula1>"OPTION-2, OMIT"</formula1>
    </dataValidation>
    <dataValidation type="list" allowBlank="1" showInputMessage="1" showErrorMessage="1" sqref="E3" xr:uid="{00000000-0002-0000-0600-000003000000}">
      <formula1>"OPTION-3, OMIT"</formula1>
    </dataValidation>
    <dataValidation type="list" allowBlank="1" showInputMessage="1" showErrorMessage="1" sqref="E4" xr:uid="{00000000-0002-0000-0600-000004000000}">
      <formula1>"OPTION-4, OMIT"</formula1>
    </dataValidation>
    <dataValidation type="list" allowBlank="1" showInputMessage="1" showErrorMessage="1" sqref="E5" xr:uid="{00000000-0002-0000-0600-000005000000}">
      <formula1>"OPTION-5, OMIT"</formula1>
    </dataValidation>
    <dataValidation type="list" allowBlank="1" showInputMessage="1" showErrorMessage="1" sqref="E6" xr:uid="{00000000-0002-0000-0600-000006000000}">
      <formula1>"OPTION-6, OMIT"</formula1>
    </dataValidation>
  </dataValidations>
  <pageMargins left="0.7" right="0.7" top="0.75" bottom="0.75" header="0.3" footer="0.3"/>
  <pageSetup orientation="portrait" r:id="rId1"/>
  <headerFooter differentOddEven="1">
    <oddFooter>&amp;CSaudi Aramco: Public&amp;L&amp;1#&amp;"Arial"&amp;10&amp;K000000Saudi Aramco: Public</oddFooter>
    <evenFooter>&amp;CSaudi Aramco: Public&amp;L&amp;1#&amp;"Arial"&amp;10&amp;K000000Saudi Aramco: Public</even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Spreadsheet Use</vt:lpstr>
      <vt:lpstr>OPTIONS</vt:lpstr>
      <vt:lpstr>INCOME-SHEET-1</vt:lpstr>
      <vt:lpstr>INCOME-SHEET-2</vt:lpstr>
      <vt:lpstr>YOUR-ZAKAH</vt:lpstr>
    </vt:vector>
  </TitlesOfParts>
  <Company>Aramco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rahimzx</dc:creator>
  <cp:keywords>Public</cp:keywords>
  <cp:lastModifiedBy>Aslam Merchant</cp:lastModifiedBy>
  <dcterms:created xsi:type="dcterms:W3CDTF">2012-06-23T10:11:31Z</dcterms:created>
  <dcterms:modified xsi:type="dcterms:W3CDTF">2021-02-08T23:31:04Z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94b492d4-db94-455b-9783-5cd71ce72239</vt:lpwstr>
  </property>
  <property fmtid="{D5CDD505-2E9C-101B-9397-08002B2CF9AE}" pid="3" name="Editor">
    <vt:lpwstr>rahimzx</vt:lpwstr>
  </property>
  <property fmtid="{D5CDD505-2E9C-101B-9397-08002B2CF9AE}" pid="4" name="Last Modification date">
    <vt:lpwstr>2019-08-29</vt:lpwstr>
  </property>
  <property fmtid="{D5CDD505-2E9C-101B-9397-08002B2CF9AE}" pid="5" name="Last Modification time">
    <vt:lpwstr>8:26:33 AM</vt:lpwstr>
  </property>
  <property fmtid="{D5CDD505-2E9C-101B-9397-08002B2CF9AE}" pid="6" name="Classification">
    <vt:lpwstr>Public</vt:lpwstr>
  </property>
  <property fmtid="{D5CDD505-2E9C-101B-9397-08002B2CF9AE}" pid="7" name="MSIP_Label_37815aaf-7408-4215-9024-78fd196cf630_Enabled">
    <vt:lpwstr>True</vt:lpwstr>
  </property>
  <property fmtid="{D5CDD505-2E9C-101B-9397-08002B2CF9AE}" pid="8" name="MSIP_Label_37815aaf-7408-4215-9024-78fd196cf630_SiteId">
    <vt:lpwstr>5a1e0c10-68b1-4667-974b-f394ba989c51</vt:lpwstr>
  </property>
  <property fmtid="{D5CDD505-2E9C-101B-9397-08002B2CF9AE}" pid="9" name="MSIP_Label_37815aaf-7408-4215-9024-78fd196cf630_Owner">
    <vt:lpwstr>rahimzx@aramco.com</vt:lpwstr>
  </property>
  <property fmtid="{D5CDD505-2E9C-101B-9397-08002B2CF9AE}" pid="10" name="MSIP_Label_37815aaf-7408-4215-9024-78fd196cf630_SetDate">
    <vt:lpwstr>2019-09-01T11:54:32.3982784Z</vt:lpwstr>
  </property>
  <property fmtid="{D5CDD505-2E9C-101B-9397-08002B2CF9AE}" pid="11" name="MSIP_Label_37815aaf-7408-4215-9024-78fd196cf630_Name">
    <vt:lpwstr>Public</vt:lpwstr>
  </property>
  <property fmtid="{D5CDD505-2E9C-101B-9397-08002B2CF9AE}" pid="12" name="MSIP_Label_37815aaf-7408-4215-9024-78fd196cf630_Application">
    <vt:lpwstr>Microsoft Azure Information Protection</vt:lpwstr>
  </property>
  <property fmtid="{D5CDD505-2E9C-101B-9397-08002B2CF9AE}" pid="13" name="MSIP_Label_37815aaf-7408-4215-9024-78fd196cf630_ActionId">
    <vt:lpwstr>6e774b30-8f25-4529-802a-6bd795d8904e</vt:lpwstr>
  </property>
  <property fmtid="{D5CDD505-2E9C-101B-9397-08002B2CF9AE}" pid="14" name="MSIP_Label_37815aaf-7408-4215-9024-78fd196cf630_Extended_MSFT_Method">
    <vt:lpwstr>Manual</vt:lpwstr>
  </property>
  <property fmtid="{D5CDD505-2E9C-101B-9397-08002B2CF9AE}" pid="15" name="Sensitivity">
    <vt:lpwstr>Public</vt:lpwstr>
  </property>
</Properties>
</file>